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orte escolar 2022-23\"/>
    </mc:Choice>
  </mc:AlternateContent>
  <bookViews>
    <workbookView xWindow="7815" yWindow="0" windowWidth="11910" windowHeight="9255" tabRatio="802"/>
  </bookViews>
  <sheets>
    <sheet name="TRANSP ESCOL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</sheets>
  <externalReferences>
    <externalReference r:id="rId7"/>
  </externalReferences>
  <definedNames>
    <definedName name="AbaDeprec">'5. Depreciação'!$A$1</definedName>
    <definedName name="AbaRemun">'6.Remuneração de capital'!$A$1</definedName>
    <definedName name="_xlnm.Print_Area" localSheetId="1">'2.Encargos Sociais'!$A$1:$C$36</definedName>
    <definedName name="_xlnm.Print_Area" localSheetId="0">'TRANSP ESCOLAR'!$A$1:$F$160</definedName>
    <definedName name="_xlnm.Print_Titles" localSheetId="0">'TRANSP ESCOLAR'!$1:$8</definedName>
  </definedNames>
  <calcPr calcId="162913"/>
</workbook>
</file>

<file path=xl/calcChain.xml><?xml version="1.0" encoding="utf-8"?>
<calcChain xmlns="http://schemas.openxmlformats.org/spreadsheetml/2006/main">
  <c r="D126" i="2" l="1"/>
  <c r="D122" i="2"/>
  <c r="D120" i="2"/>
  <c r="D83" i="2"/>
  <c r="B115" i="2"/>
  <c r="E107" i="2"/>
  <c r="D121" i="2" l="1"/>
  <c r="D127" i="2"/>
  <c r="D123" i="2"/>
  <c r="C86" i="2" l="1"/>
  <c r="E118" i="2"/>
  <c r="A22" i="2" l="1"/>
  <c r="A41" i="2"/>
  <c r="G28" i="8" l="1"/>
  <c r="G27" i="8"/>
  <c r="G25" i="8"/>
  <c r="G16" i="8" s="1"/>
  <c r="G22" i="8" s="1"/>
  <c r="G24" i="8"/>
  <c r="G14" i="8"/>
  <c r="G26" i="8"/>
  <c r="C22" i="8"/>
  <c r="C14" i="8"/>
  <c r="G31" i="8" l="1"/>
  <c r="G29" i="8"/>
  <c r="G32" i="8"/>
  <c r="C29" i="8"/>
  <c r="C32" i="8"/>
  <c r="C33" i="8" l="1"/>
  <c r="C34" i="8" s="1"/>
  <c r="C59" i="2" s="1"/>
  <c r="G33" i="8"/>
  <c r="G34" i="8" s="1"/>
  <c r="C100" i="2" l="1"/>
  <c r="D125" i="2"/>
  <c r="D53" i="2" l="1"/>
  <c r="E53" i="2" s="1"/>
  <c r="D54" i="2" l="1"/>
  <c r="E54" i="2" s="1"/>
  <c r="D55" i="2" s="1"/>
  <c r="E55" i="2" s="1"/>
  <c r="C142" i="2" l="1"/>
  <c r="A29" i="2"/>
  <c r="A28" i="2"/>
  <c r="A27" i="2"/>
  <c r="A26" i="2"/>
  <c r="A25" i="2"/>
  <c r="A24" i="2"/>
  <c r="A23" i="2"/>
  <c r="A21" i="2"/>
  <c r="A20" i="2"/>
  <c r="A19" i="2"/>
  <c r="E110" i="2"/>
  <c r="E101" i="2"/>
  <c r="E90" i="2"/>
  <c r="E72" i="2"/>
  <c r="E62" i="2"/>
  <c r="D94" i="2"/>
  <c r="C13" i="4"/>
  <c r="F11" i="4"/>
  <c r="E11" i="4"/>
  <c r="D11" i="4"/>
  <c r="C34" i="5"/>
  <c r="C29" i="5"/>
  <c r="C28" i="5"/>
  <c r="E51" i="2"/>
  <c r="D57" i="2" s="1"/>
  <c r="E57" i="2" s="1"/>
  <c r="E140" i="2"/>
  <c r="C119" i="2"/>
  <c r="D119" i="2"/>
  <c r="D128" i="2" s="1"/>
  <c r="E83" i="2"/>
  <c r="D86" i="2" s="1"/>
  <c r="C87" i="2"/>
  <c r="A18" i="2"/>
  <c r="A30" i="2"/>
  <c r="A36" i="2"/>
  <c r="A71" i="2"/>
  <c r="D105" i="2"/>
  <c r="E138" i="2"/>
  <c r="C108" i="2"/>
  <c r="E108" i="2" s="1"/>
  <c r="C106" i="2"/>
  <c r="E106" i="2" s="1"/>
  <c r="C18" i="4" l="1"/>
  <c r="C154" i="2" s="1"/>
  <c r="C121" i="2"/>
  <c r="E121" i="2" s="1"/>
  <c r="C123" i="2"/>
  <c r="E123" i="2" s="1"/>
  <c r="E119" i="2"/>
  <c r="D141" i="2"/>
  <c r="E141" i="2" s="1"/>
  <c r="D142" i="2" s="1"/>
  <c r="E142" i="2" s="1"/>
  <c r="F143" i="2" s="1"/>
  <c r="E29" i="2" s="1"/>
  <c r="G28" i="5"/>
  <c r="C39" i="5"/>
  <c r="E37" i="5"/>
  <c r="D37" i="5" s="1"/>
  <c r="D38" i="5" s="1"/>
  <c r="C38" i="5" s="1"/>
  <c r="E125" i="2"/>
  <c r="C127" i="2"/>
  <c r="E127" i="2" s="1"/>
  <c r="C96" i="2"/>
  <c r="E66" i="2"/>
  <c r="E38" i="2"/>
  <c r="E71" i="2"/>
  <c r="E94" i="2"/>
  <c r="E105" i="2"/>
  <c r="D109" i="2" s="1"/>
  <c r="E109" i="2" s="1"/>
  <c r="F110" i="2" s="1"/>
  <c r="E26" i="2" s="1"/>
  <c r="E86" i="2"/>
  <c r="D87" i="2" s="1"/>
  <c r="E87" i="2" s="1"/>
  <c r="E88" i="2" s="1"/>
  <c r="E58" i="2"/>
  <c r="C133" i="2" l="1"/>
  <c r="E133" i="2" s="1"/>
  <c r="F134" i="2" s="1"/>
  <c r="E28" i="2" s="1"/>
  <c r="K35" i="5"/>
  <c r="K36" i="5" s="1"/>
  <c r="K37" i="5" s="1"/>
  <c r="K38" i="5" s="1"/>
  <c r="K39" i="5" s="1"/>
  <c r="K40" i="5" s="1"/>
  <c r="K41" i="5" s="1"/>
  <c r="F37" i="5"/>
  <c r="G37" i="5" s="1"/>
  <c r="C37" i="5"/>
  <c r="C97" i="2"/>
  <c r="D98" i="2" s="1"/>
  <c r="E98" i="2" s="1"/>
  <c r="E99" i="2" s="1"/>
  <c r="F67" i="2"/>
  <c r="E20" i="2" s="1"/>
  <c r="F72" i="2"/>
  <c r="F129" i="2"/>
  <c r="E27" i="2" s="1"/>
  <c r="D59" i="2"/>
  <c r="E59" i="2" s="1"/>
  <c r="E21" i="2" l="1"/>
  <c r="G38" i="5"/>
  <c r="G32" i="5"/>
  <c r="D89" i="2"/>
  <c r="E89" i="2" s="1"/>
  <c r="F90" i="2" s="1"/>
  <c r="E24" i="2" s="1"/>
  <c r="D100" i="2"/>
  <c r="E100" i="2" s="1"/>
  <c r="F101" i="2" s="1"/>
  <c r="E25" i="2" s="1"/>
  <c r="E23" i="2" l="1"/>
  <c r="F146" i="2"/>
  <c r="E22" i="2" s="1"/>
  <c r="E60" i="2" l="1"/>
  <c r="D61" i="2" s="1"/>
  <c r="E61" i="2" s="1"/>
  <c r="F62" i="2" s="1"/>
  <c r="E19" i="2" l="1"/>
  <c r="F74" i="2"/>
  <c r="F149" i="2" s="1"/>
  <c r="E18" i="2" l="1"/>
  <c r="D154" i="2"/>
  <c r="E154" i="2" s="1"/>
  <c r="F155" i="2" s="1"/>
  <c r="F157" i="2" s="1"/>
  <c r="E30" i="2" s="1"/>
  <c r="E31" i="2" l="1"/>
  <c r="E32" i="2" s="1"/>
  <c r="F160" i="2"/>
  <c r="F18" i="2" l="1"/>
  <c r="F21" i="2"/>
  <c r="F22" i="2"/>
  <c r="F29" i="2"/>
  <c r="F28" i="2"/>
  <c r="F19" i="2"/>
  <c r="F23" i="2"/>
  <c r="F24" i="2"/>
  <c r="F25" i="2"/>
  <c r="F20" i="2"/>
  <c r="F26" i="2"/>
  <c r="F27" i="2"/>
  <c r="F30" i="2"/>
  <c r="F31" i="2" l="1"/>
</calcChain>
</file>

<file path=xl/sharedStrings.xml><?xml version="1.0" encoding="utf-8"?>
<sst xmlns="http://schemas.openxmlformats.org/spreadsheetml/2006/main" count="401" uniqueCount="247">
  <si>
    <t>hora</t>
  </si>
  <si>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</si>
  <si>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</si>
  <si>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</si>
  <si>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</si>
  <si>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</si>
  <si>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</si>
  <si>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</si>
  <si>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</si>
  <si>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</si>
  <si>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</si>
  <si>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</si>
  <si>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</si>
  <si>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</si>
  <si>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</si>
  <si>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</si>
  <si>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</si>
  <si>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</si>
  <si>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</si>
  <si>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</si>
  <si>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</si>
  <si>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</si>
  <si>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</si>
  <si>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</si>
  <si>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R$</t>
  </si>
  <si>
    <t>Horas Extras (100%)</t>
  </si>
  <si>
    <t>Horas Extras (50%)</t>
  </si>
  <si>
    <t>Benefícios e despesas indiretas</t>
  </si>
  <si>
    <t>Custo (R$/mês)</t>
  </si>
  <si>
    <t>Mão-de-obra</t>
  </si>
  <si>
    <t>Quantidade</t>
  </si>
  <si>
    <t>INSS</t>
  </si>
  <si>
    <t>FGTS</t>
  </si>
  <si>
    <t>Planilha de Composição de Custos</t>
  </si>
  <si>
    <t>3.1.1. Depreciação</t>
  </si>
  <si>
    <t>1. Mão-de-obra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</si>
  <si>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</si>
  <si>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</si>
  <si>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</si>
  <si>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</si>
  <si>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</si>
  <si>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</si>
  <si>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Total de mão-de-obra (postos de trabalho)</t>
  </si>
  <si>
    <t>3.1.6. Pneus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</si>
  <si>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</si>
  <si>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</si>
  <si>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</si>
  <si>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</si>
  <si>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Custo de recapagem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</si>
  <si>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</si>
  <si>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</si>
  <si>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</si>
  <si>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</si>
  <si>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</si>
  <si>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</si>
  <si>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</si>
  <si>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</si>
  <si>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</si>
  <si>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</si>
  <si>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</si>
  <si>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</si>
  <si>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</si>
  <si>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</si>
  <si>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</si>
  <si>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Custo Mensal com Mão-de-obra (R$/mês)</t>
  </si>
  <si>
    <t>Quantitativos</t>
  </si>
  <si>
    <t>1.3. Motorista Turno do Dia</t>
  </si>
  <si>
    <t>Média</t>
  </si>
  <si>
    <t>Vida útil do chassis</t>
  </si>
  <si>
    <t>anos</t>
  </si>
  <si>
    <t>Depreciação do chassis</t>
  </si>
  <si>
    <t>Custo de aquisição do chassis</t>
  </si>
  <si>
    <t>i = taxa de juros do mercado (sugere-se adotar a taxa SELIC)</t>
  </si>
  <si>
    <t>n = vida útil do bem em anos</t>
  </si>
  <si>
    <t>Custo do chassis</t>
  </si>
  <si>
    <t>3.1.2. Remuneração do Capital</t>
  </si>
  <si>
    <t>Im = investimento médio</t>
  </si>
  <si>
    <t>Investimento médio total do chassis</t>
  </si>
  <si>
    <t>Remuneração mensal de capital do chassis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</si>
  <si>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</si>
  <si>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</si>
  <si>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</si>
  <si>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</si>
  <si>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</si>
  <si>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</si>
  <si>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</si>
  <si>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</si>
  <si>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</si>
  <si>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</si>
  <si>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</si>
  <si>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</si>
  <si>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</si>
  <si>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</si>
  <si>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</si>
  <si>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</si>
  <si>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</si>
  <si>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</si>
  <si>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</si>
  <si>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</si>
  <si>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</si>
  <si>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</si>
  <si>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</si>
  <si>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</si>
  <si>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</si>
  <si>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</si>
  <si>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</si>
  <si>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</si>
  <si>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</si>
  <si>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</si>
  <si>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</si>
  <si>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</si>
  <si>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</si>
  <si>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</si>
  <si>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</si>
  <si>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</si>
  <si>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</si>
  <si>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</si>
  <si>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</si>
  <si>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</si>
  <si>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</si>
  <si>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</si>
  <si>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</si>
  <si>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</si>
  <si>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</si>
  <si>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</si>
  <si>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</si>
  <si>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</si>
  <si>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</si>
  <si>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</si>
  <si>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</si>
  <si>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</si>
  <si>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</si>
  <si>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</si>
  <si>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</si>
  <si>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</si>
  <si>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</si>
  <si>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</si>
  <si>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</si>
  <si>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</si>
  <si>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</si>
  <si>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</si>
  <si>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</si>
  <si>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</si>
  <si>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</si>
  <si>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</si>
  <si>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</si>
  <si>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</si>
  <si>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</si>
  <si>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</si>
  <si>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</si>
  <si>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</si>
  <si>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</si>
  <si>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</si>
  <si>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</si>
  <si>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</si>
  <si>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</si>
  <si>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SELIC</t>
  </si>
  <si>
    <t>DU</t>
  </si>
  <si>
    <t>Licenciamento e Seguro obrigatório</t>
  </si>
  <si>
    <t>Fator de utilização</t>
  </si>
  <si>
    <t>Fator de utilização (FU)</t>
  </si>
  <si>
    <t>Descrição do Item</t>
  </si>
  <si>
    <t>Orçamento Sintético</t>
  </si>
  <si>
    <t>Orientações para preenchimento:</t>
  </si>
  <si>
    <t>2. Preencher somente células em amarelo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</si>
  <si>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</si>
  <si>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</si>
  <si>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</si>
  <si>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</si>
  <si>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</si>
  <si>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</si>
  <si>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</si>
  <si>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</si>
  <si>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Valor do veículo proposto (V0)</t>
  </si>
  <si>
    <t>Taxa de juros anual nominal</t>
  </si>
  <si>
    <t>Base de cálculo da Insalubridade</t>
  </si>
  <si>
    <t>Piso da categoria (1)</t>
  </si>
  <si>
    <t>Salário mínimo nacional (2)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</si>
  <si>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</si>
  <si>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</si>
  <si>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</si>
  <si>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</si>
  <si>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>Custo Mensal com Veículos e Equipamentos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</si>
  <si>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</si>
  <si>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</si>
  <si>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</si>
  <si>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</si>
  <si>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</si>
  <si>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1. Esta planilha é somente um modelo-base. Qualquer custo previsto no edital e não contemplado nesta planilha deverá ser devidamente incluído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</si>
  <si>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</si>
  <si>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</si>
  <si>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</si>
  <si>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</si>
  <si>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</si>
  <si>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</si>
  <si>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</si>
  <si>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</si>
  <si>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</si>
  <si>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</si>
  <si>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</si>
  <si>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</si>
  <si>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</si>
  <si>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</si>
  <si>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</si>
  <si>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</si>
  <si>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</si>
  <si>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</si>
  <si>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</si>
  <si>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</si>
  <si>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</si>
  <si>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</si>
  <si>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</si>
  <si>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</si>
  <si>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</si>
  <si>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</si>
  <si>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</si>
  <si>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</si>
  <si>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</si>
  <si>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</si>
  <si>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</si>
  <si>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Vale alimentação</t>
  </si>
  <si>
    <t>PREÇO TOTAL MENSAL COM O TRANSPORTE</t>
  </si>
  <si>
    <t>PREÇO POR KM RODADO</t>
  </si>
  <si>
    <r>
      <t xml:space="preserve">Custo jg. compl. + </t>
    </r>
    <r>
      <rPr>
        <sz val="10"/>
        <rFont val="Arial"/>
        <family val="2"/>
      </rPr>
      <t>recap./ km rodado</t>
    </r>
  </si>
  <si>
    <t>Pneus 225/75  R16 C</t>
  </si>
  <si>
    <t>Vistorias</t>
  </si>
  <si>
    <t>Custo de manutenção do veiculo</t>
  </si>
  <si>
    <t>Quilometragem diária</t>
  </si>
  <si>
    <t>Dias uteis mês</t>
  </si>
  <si>
    <t xml:space="preserve">Depreciação mensal veículos </t>
  </si>
  <si>
    <t>2. Valores do veiculo é media de preço do mercado para veiculo 2010/2011</t>
  </si>
  <si>
    <t>4.  Encargos sociais do Simples Nacional ( FGTS - 8%+Férias - 11,08%+13º sal. - 8,33%+ INSS 11%)</t>
  </si>
  <si>
    <t>5. De acordo com a DPM a manutenção de veiculos Transporte Escolar é 13% sobre despesas com combustiveis.</t>
  </si>
  <si>
    <t xml:space="preserve">MANUTENÇÃO DE VEICULOS </t>
  </si>
  <si>
    <t>Minimo 67% de estradas pavimentadas - 13% de manutenção</t>
  </si>
  <si>
    <t>Mais de 50% de estradas pavimentadas - 21% de manutenção</t>
  </si>
  <si>
    <t>Menos de 50% de estradas pavimentadas - 26 % de manutenção</t>
  </si>
  <si>
    <t>Durabilidade dos pneus</t>
  </si>
  <si>
    <t>Minimo 67% de estradas pavimentadas - 35.000 km</t>
  </si>
  <si>
    <t>Mais de 50% de estradas pavimentadas - 27.5000 km</t>
  </si>
  <si>
    <t>Menos de 50% de estradas pavimentadas - 20.000 km</t>
  </si>
  <si>
    <t>1. TRANSPORTE ESCOLAR -  VAN</t>
  </si>
  <si>
    <t>Itinerário III</t>
  </si>
  <si>
    <t>3.1. Veículo de no minimo 15 passageiros</t>
  </si>
  <si>
    <t>7.  Veiculos com maximo de 20 anos de uso, conforme lei nº 3.101 de 25/02/2021.</t>
  </si>
  <si>
    <t>6. Tributos  de acordo com tabela do Simples Nacional faixa 0,00 a 360.000,00</t>
  </si>
  <si>
    <t>3. Base salarial  CONVENÇÃO COLETIVA DE TRABALHO 2022/2023 - Registro no MTE RS003447/2022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</si>
</sst>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(* #,##0.0000_);_(* \(#,##0.00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Times New Roman"/>
      <family val="1"/>
    </font>
    <font>
      <b/>
      <i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3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5" fontId="4" fillId="0" borderId="0" xfId="3" applyFont="1" applyAlignment="1">
      <alignment vertical="center"/>
    </xf>
    <xf numFmtId="165" fontId="0" fillId="0" borderId="10" xfId="3" applyFont="1" applyBorder="1" applyAlignment="1">
      <alignment vertical="center"/>
    </xf>
    <xf numFmtId="165" fontId="3" fillId="0" borderId="11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2" xfId="3" applyFont="1" applyBorder="1" applyAlignment="1">
      <alignment horizontal="right" vertical="center"/>
    </xf>
    <xf numFmtId="165" fontId="0" fillId="0" borderId="13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4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65" fontId="10" fillId="2" borderId="16" xfId="3" applyFont="1" applyFill="1" applyBorder="1" applyAlignment="1">
      <alignment horizontal="center" vertical="center"/>
    </xf>
    <xf numFmtId="165" fontId="10" fillId="2" borderId="17" xfId="3" applyFont="1" applyFill="1" applyBorder="1" applyAlignment="1">
      <alignment horizontal="center" vertical="center"/>
    </xf>
    <xf numFmtId="165" fontId="3" fillId="0" borderId="18" xfId="3" applyFont="1" applyBorder="1" applyAlignment="1">
      <alignment horizontal="center" vertical="center"/>
    </xf>
    <xf numFmtId="165" fontId="1" fillId="0" borderId="13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3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9" xfId="3" applyNumberFormat="1" applyFont="1" applyBorder="1" applyAlignment="1">
      <alignment horizontal="center" vertical="center"/>
    </xf>
    <xf numFmtId="165" fontId="3" fillId="0" borderId="27" xfId="3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1" fontId="3" fillId="0" borderId="30" xfId="3" applyNumberFormat="1" applyFont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165" fontId="10" fillId="2" borderId="32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5" fontId="3" fillId="0" borderId="34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3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4" xfId="2" applyNumberFormat="1" applyFont="1" applyBorder="1" applyAlignment="1">
      <alignment vertical="center"/>
    </xf>
    <xf numFmtId="165" fontId="3" fillId="0" borderId="37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8" xfId="3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1" fontId="6" fillId="0" borderId="36" xfId="3" applyNumberFormat="1" applyFont="1" applyBorder="1" applyAlignment="1">
      <alignment horizontal="center" vertical="center"/>
    </xf>
    <xf numFmtId="165" fontId="3" fillId="0" borderId="13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9" fontId="3" fillId="0" borderId="17" xfId="2" applyFont="1" applyBorder="1" applyAlignment="1">
      <alignment vertical="center"/>
    </xf>
    <xf numFmtId="10" fontId="6" fillId="0" borderId="14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37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8" xfId="3" applyFont="1" applyFill="1" applyBorder="1" applyAlignment="1">
      <alignment vertical="center"/>
    </xf>
    <xf numFmtId="166" fontId="3" fillId="0" borderId="0" xfId="3" applyNumberFormat="1" applyFont="1" applyBorder="1" applyAlignment="1">
      <alignment horizontal="center" vertical="center"/>
    </xf>
    <xf numFmtId="0" fontId="13" fillId="0" borderId="13" xfId="0" applyFont="1" applyBorder="1"/>
    <xf numFmtId="0" fontId="6" fillId="0" borderId="0" xfId="0" applyFont="1" applyBorder="1"/>
    <xf numFmtId="0" fontId="13" fillId="0" borderId="46" xfId="0" applyFont="1" applyBorder="1"/>
    <xf numFmtId="0" fontId="13" fillId="3" borderId="19" xfId="0" applyFont="1" applyFill="1" applyBorder="1"/>
    <xf numFmtId="0" fontId="13" fillId="0" borderId="22" xfId="0" applyFont="1" applyBorder="1"/>
    <xf numFmtId="0" fontId="13" fillId="0" borderId="50" xfId="0" applyFont="1" applyBorder="1"/>
    <xf numFmtId="0" fontId="13" fillId="0" borderId="47" xfId="0" applyFont="1" applyBorder="1"/>
    <xf numFmtId="0" fontId="13" fillId="0" borderId="51" xfId="0" applyFont="1" applyBorder="1"/>
    <xf numFmtId="0" fontId="13" fillId="0" borderId="19" xfId="0" applyFont="1" applyBorder="1"/>
    <xf numFmtId="0" fontId="13" fillId="0" borderId="27" xfId="0" applyFont="1" applyBorder="1"/>
    <xf numFmtId="2" fontId="14" fillId="7" borderId="1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2" fontId="14" fillId="7" borderId="35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0" fontId="14" fillId="0" borderId="19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0" fontId="18" fillId="0" borderId="19" xfId="0" applyNumberFormat="1" applyFont="1" applyBorder="1" applyAlignment="1">
      <alignment horizontal="right" vertical="center"/>
    </xf>
    <xf numFmtId="0" fontId="14" fillId="5" borderId="22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10" fontId="18" fillId="5" borderId="19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9" fontId="14" fillId="0" borderId="0" xfId="2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4" fillId="9" borderId="23" xfId="0" applyFont="1" applyFill="1" applyBorder="1" applyAlignment="1">
      <alignment horizontal="left" vertical="center"/>
    </xf>
    <xf numFmtId="0" fontId="18" fillId="9" borderId="35" xfId="0" applyFont="1" applyFill="1" applyBorder="1" applyAlignment="1">
      <alignment horizontal="left" vertical="center"/>
    </xf>
    <xf numFmtId="10" fontId="18" fillId="9" borderId="36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10" fontId="14" fillId="0" borderId="0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10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10" fontId="18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2" fillId="0" borderId="0" xfId="0" applyFont="1" applyBorder="1"/>
    <xf numFmtId="0" fontId="14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4" xfId="0" applyFont="1" applyBorder="1"/>
    <xf numFmtId="0" fontId="5" fillId="0" borderId="22" xfId="0" applyFont="1" applyBorder="1"/>
    <xf numFmtId="0" fontId="5" fillId="3" borderId="19" xfId="0" applyFont="1" applyFill="1" applyBorder="1"/>
    <xf numFmtId="0" fontId="5" fillId="0" borderId="46" xfId="0" applyFont="1" applyBorder="1"/>
    <xf numFmtId="0" fontId="5" fillId="3" borderId="47" xfId="0" applyFont="1" applyFill="1" applyBorder="1"/>
    <xf numFmtId="0" fontId="5" fillId="0" borderId="48" xfId="0" applyFont="1" applyBorder="1"/>
    <xf numFmtId="0" fontId="5" fillId="3" borderId="49" xfId="0" applyFont="1" applyFill="1" applyBorder="1"/>
    <xf numFmtId="0" fontId="5" fillId="0" borderId="37" xfId="0" applyFont="1" applyBorder="1"/>
    <xf numFmtId="0" fontId="5" fillId="0" borderId="38" xfId="0" applyFont="1" applyBorder="1"/>
    <xf numFmtId="0" fontId="7" fillId="0" borderId="47" xfId="0" applyFont="1" applyBorder="1"/>
    <xf numFmtId="9" fontId="7" fillId="0" borderId="47" xfId="0" applyNumberFormat="1" applyFont="1" applyBorder="1"/>
    <xf numFmtId="0" fontId="7" fillId="0" borderId="37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2" xfId="2" applyFont="1" applyBorder="1"/>
    <xf numFmtId="9" fontId="5" fillId="0" borderId="1" xfId="2" applyFont="1" applyBorder="1" applyAlignment="1">
      <alignment horizontal="center"/>
    </xf>
    <xf numFmtId="9" fontId="5" fillId="0" borderId="19" xfId="2" applyFont="1" applyBorder="1"/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10" fontId="5" fillId="3" borderId="11" xfId="0" applyNumberFormat="1" applyFont="1" applyFill="1" applyBorder="1" applyAlignment="1">
      <alignment horizontal="center" vertical="center"/>
    </xf>
    <xf numFmtId="10" fontId="5" fillId="0" borderId="22" xfId="2" applyNumberFormat="1" applyFont="1" applyBorder="1"/>
    <xf numFmtId="10" fontId="5" fillId="0" borderId="19" xfId="2" applyNumberFormat="1" applyFont="1" applyBorder="1"/>
    <xf numFmtId="0" fontId="5" fillId="0" borderId="2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9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9" xfId="0" applyFont="1" applyBorder="1"/>
    <xf numFmtId="0" fontId="5" fillId="0" borderId="23" xfId="0" applyFont="1" applyFill="1" applyBorder="1" applyAlignment="1">
      <alignment horizontal="left" vertical="center"/>
    </xf>
    <xf numFmtId="10" fontId="5" fillId="3" borderId="3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0" fontId="5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2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9" xfId="2" applyNumberFormat="1" applyFont="1" applyBorder="1" applyAlignment="1">
      <alignment horizontal="right"/>
    </xf>
    <xf numFmtId="10" fontId="5" fillId="0" borderId="23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0" fontId="6" fillId="0" borderId="53" xfId="0" applyFont="1" applyBorder="1"/>
    <xf numFmtId="0" fontId="15" fillId="0" borderId="53" xfId="0" applyFont="1" applyBorder="1" applyAlignment="1">
      <alignment horizontal="justify"/>
    </xf>
    <xf numFmtId="0" fontId="15" fillId="0" borderId="54" xfId="0" applyFont="1" applyBorder="1" applyAlignment="1">
      <alignment horizontal="justify"/>
    </xf>
    <xf numFmtId="0" fontId="12" fillId="10" borderId="52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5" xfId="0" applyNumberFormat="1" applyFont="1" applyBorder="1" applyAlignment="1">
      <alignment vertical="center"/>
    </xf>
    <xf numFmtId="165" fontId="3" fillId="0" borderId="10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169" fontId="13" fillId="0" borderId="47" xfId="0" applyNumberFormat="1" applyFont="1" applyBorder="1"/>
    <xf numFmtId="169" fontId="7" fillId="0" borderId="47" xfId="0" applyNumberFormat="1" applyFont="1" applyBorder="1"/>
    <xf numFmtId="169" fontId="7" fillId="0" borderId="30" xfId="0" applyNumberFormat="1" applyFont="1" applyBorder="1"/>
    <xf numFmtId="0" fontId="3" fillId="0" borderId="55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165" fontId="3" fillId="0" borderId="55" xfId="3" applyFont="1" applyBorder="1" applyAlignment="1">
      <alignment horizontal="center" vertical="center"/>
    </xf>
    <xf numFmtId="165" fontId="3" fillId="0" borderId="55" xfId="3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0" fontId="6" fillId="0" borderId="1" xfId="3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3" fillId="0" borderId="8" xfId="0" applyFont="1" applyFill="1" applyBorder="1" applyAlignment="1">
      <alignment wrapText="1"/>
    </xf>
    <xf numFmtId="10" fontId="3" fillId="3" borderId="7" xfId="2" applyNumberFormat="1" applyFont="1" applyFill="1" applyBorder="1" applyAlignment="1">
      <alignment vertical="center"/>
    </xf>
    <xf numFmtId="0" fontId="12" fillId="8" borderId="37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38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165" fontId="3" fillId="3" borderId="0" xfId="3" applyFont="1" applyFill="1" applyAlignment="1">
      <alignment vertical="center"/>
    </xf>
    <xf numFmtId="165" fontId="12" fillId="3" borderId="0" xfId="3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170" fontId="6" fillId="0" borderId="1" xfId="3" applyNumberFormat="1" applyFont="1" applyBorder="1" applyAlignment="1">
      <alignment horizontal="center" vertical="center"/>
    </xf>
    <xf numFmtId="0" fontId="24" fillId="0" borderId="0" xfId="0" applyFont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2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9" fontId="7" fillId="0" borderId="20" xfId="2" applyFont="1" applyBorder="1" applyAlignment="1">
      <alignment horizontal="center"/>
    </xf>
    <xf numFmtId="9" fontId="7" fillId="0" borderId="21" xfId="2" applyFont="1" applyBorder="1" applyAlignment="1">
      <alignment horizontal="center"/>
    </xf>
    <xf numFmtId="9" fontId="7" fillId="0" borderId="11" xfId="2" applyFont="1" applyBorder="1" applyAlignment="1">
      <alignment horizont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%20DRIVE%20PRETO%2016%20GB%20RESIDUOS/RESIDUOS/Planilha%20modelo%20TCE%20Coleta%20v%204%20pave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tabSelected="1" view="pageBreakPreview" topLeftCell="A16" zoomScaleSheetLayoutView="100" workbookViewId="0">
      <selection activeCell="D139" sqref="D139"/>
    </sheetView>
  </sheetViews>
  <sheetFormatPr defaultRowHeight="12.75" x14ac:dyDescent="0.2"/>
  <cols>
    <col min="1" max="1" width="44.5703125" style="7" customWidth="1"/>
    <col min="2" max="2" width="16" style="7" bestFit="1" customWidth="1"/>
    <col min="3" max="3" width="11.85546875" style="7" customWidth="1"/>
    <col min="4" max="4" width="14.7109375" style="8" customWidth="1"/>
    <col min="5" max="5" width="15.42578125" style="8" customWidth="1"/>
    <col min="6" max="6" width="18.28515625" style="8" customWidth="1"/>
    <col min="7" max="7" width="28.140625" style="8" customWidth="1"/>
    <col min="8" max="8" width="9.140625" style="7"/>
    <col min="9" max="9" width="14.5703125" style="7" customWidth="1"/>
    <col min="10" max="10" width="13.42578125" style="7" customWidth="1"/>
    <col min="11" max="16384" width="9.140625" style="7"/>
  </cols>
  <sheetData>
    <row r="1" spans="1:7" x14ac:dyDescent="0.2">
      <c r="A1" s="9" t="s">
        <v>163</v>
      </c>
    </row>
    <row r="2" spans="1:7" x14ac:dyDescent="0.2">
      <c r="A2" s="264" t="s">
        <v>188</v>
      </c>
    </row>
    <row r="3" spans="1:7" s="2" customFormat="1" ht="15.6" customHeight="1" x14ac:dyDescent="0.2">
      <c r="A3" s="264" t="s">
        <v>230</v>
      </c>
      <c r="B3" s="116"/>
      <c r="C3" s="116"/>
      <c r="D3" s="116"/>
      <c r="E3" s="116"/>
      <c r="F3" s="116"/>
      <c r="G3" s="4"/>
    </row>
    <row r="4" spans="1:7" s="2" customFormat="1" ht="15.6" customHeight="1" x14ac:dyDescent="0.2">
      <c r="A4" s="248" t="s">
        <v>246</v>
      </c>
      <c r="B4" s="116"/>
      <c r="C4" s="116"/>
      <c r="D4" s="116"/>
      <c r="E4" s="116"/>
      <c r="F4" s="116"/>
      <c r="G4" s="4"/>
    </row>
    <row r="5" spans="1:7" s="2" customFormat="1" ht="15.6" customHeight="1" x14ac:dyDescent="0.2">
      <c r="A5" s="248" t="s">
        <v>231</v>
      </c>
      <c r="B5" s="116"/>
      <c r="C5" s="116"/>
      <c r="D5" s="116"/>
      <c r="E5" s="116"/>
      <c r="F5" s="116"/>
      <c r="G5" s="4"/>
    </row>
    <row r="6" spans="1:7" s="2" customFormat="1" ht="15.6" customHeight="1" x14ac:dyDescent="0.2">
      <c r="A6" s="248" t="s">
        <v>232</v>
      </c>
      <c r="B6" s="116"/>
      <c r="C6" s="116"/>
      <c r="D6" s="116"/>
      <c r="E6" s="116"/>
      <c r="F6" s="116"/>
      <c r="G6" s="4"/>
    </row>
    <row r="7" spans="1:7" s="2" customFormat="1" ht="15.6" customHeight="1" x14ac:dyDescent="0.2">
      <c r="A7" s="248" t="s">
        <v>245</v>
      </c>
      <c r="B7" s="116"/>
      <c r="C7" s="116"/>
      <c r="D7" s="116"/>
      <c r="E7" s="116"/>
      <c r="F7" s="116"/>
      <c r="G7" s="4"/>
    </row>
    <row r="8" spans="1:7" s="2" customFormat="1" ht="15.6" customHeight="1" x14ac:dyDescent="0.2">
      <c r="A8" s="248" t="s">
        <v>244</v>
      </c>
      <c r="B8" s="116"/>
      <c r="C8" s="116"/>
      <c r="D8" s="116"/>
      <c r="E8" s="116"/>
      <c r="F8" s="116"/>
      <c r="G8" s="4"/>
    </row>
    <row r="9" spans="1:7" s="2" customFormat="1" ht="15.6" customHeight="1" x14ac:dyDescent="0.2">
      <c r="A9" s="248"/>
      <c r="B9" s="116"/>
      <c r="C9" s="116"/>
      <c r="D9" s="116"/>
      <c r="E9" s="116"/>
      <c r="F9" s="116"/>
      <c r="G9" s="4"/>
    </row>
    <row r="10" spans="1:7" s="2" customFormat="1" ht="15.6" customHeight="1" x14ac:dyDescent="0.2">
      <c r="A10" s="248"/>
      <c r="B10" s="116"/>
      <c r="C10" s="116"/>
      <c r="D10" s="116"/>
      <c r="E10" s="116"/>
      <c r="F10" s="116"/>
      <c r="G10" s="4"/>
    </row>
    <row r="11" spans="1:7" s="2" customFormat="1" ht="16.5" customHeight="1" thickBot="1" x14ac:dyDescent="0.25">
      <c r="A11" s="5"/>
      <c r="B11" s="3"/>
      <c r="C11" s="3"/>
      <c r="D11" s="4"/>
      <c r="E11" s="4"/>
      <c r="F11" s="4"/>
      <c r="G11" s="4"/>
    </row>
    <row r="12" spans="1:7" s="6" customFormat="1" ht="18" x14ac:dyDescent="0.2">
      <c r="A12" s="274" t="s">
        <v>241</v>
      </c>
      <c r="B12" s="275"/>
      <c r="C12" s="275"/>
      <c r="D12" s="275"/>
      <c r="E12" s="275"/>
      <c r="F12" s="276"/>
      <c r="G12" s="34"/>
    </row>
    <row r="13" spans="1:7" s="6" customFormat="1" ht="18" x14ac:dyDescent="0.2">
      <c r="A13" s="261"/>
      <c r="B13" s="262" t="s">
        <v>242</v>
      </c>
      <c r="C13" s="262"/>
      <c r="D13" s="262"/>
      <c r="E13" s="262"/>
      <c r="F13" s="263"/>
      <c r="G13" s="34"/>
    </row>
    <row r="14" spans="1:7" s="6" customFormat="1" ht="21.75" customHeight="1" x14ac:dyDescent="0.2">
      <c r="A14" s="277" t="s">
        <v>33</v>
      </c>
      <c r="B14" s="278"/>
      <c r="C14" s="278"/>
      <c r="D14" s="278"/>
      <c r="E14" s="278"/>
      <c r="F14" s="279"/>
      <c r="G14" s="34"/>
    </row>
    <row r="15" spans="1:7" s="2" customFormat="1" ht="10.9" customHeight="1" thickBot="1" x14ac:dyDescent="0.25">
      <c r="A15" s="127"/>
      <c r="B15" s="128"/>
      <c r="C15" s="128"/>
      <c r="D15" s="129"/>
      <c r="E15" s="129"/>
      <c r="F15" s="130"/>
      <c r="G15" s="4"/>
    </row>
    <row r="16" spans="1:7" s="2" customFormat="1" ht="15.75" customHeight="1" thickBot="1" x14ac:dyDescent="0.25">
      <c r="A16" s="283" t="s">
        <v>162</v>
      </c>
      <c r="B16" s="284"/>
      <c r="C16" s="284"/>
      <c r="D16" s="284"/>
      <c r="E16" s="284"/>
      <c r="F16" s="285"/>
      <c r="G16" s="4"/>
    </row>
    <row r="17" spans="1:7" s="2" customFormat="1" ht="15.75" customHeight="1" x14ac:dyDescent="0.2">
      <c r="A17" s="57" t="s">
        <v>161</v>
      </c>
      <c r="B17" s="36"/>
      <c r="C17" s="36"/>
      <c r="D17" s="232"/>
      <c r="E17" s="95" t="s">
        <v>28</v>
      </c>
      <c r="F17" s="37" t="s">
        <v>2</v>
      </c>
      <c r="G17" s="4"/>
    </row>
    <row r="18" spans="1:7" s="9" customFormat="1" ht="15.75" customHeight="1" x14ac:dyDescent="0.2">
      <c r="A18" s="103" t="str">
        <f>+A46</f>
        <v>1. Mão-de-obra</v>
      </c>
      <c r="B18" s="104"/>
      <c r="C18" s="105"/>
      <c r="D18" s="105"/>
      <c r="E18" s="229">
        <f>+F74</f>
        <v>1359.6706349999999</v>
      </c>
      <c r="F18" s="106">
        <f t="shared" ref="F18:F30" si="0">IFERROR(E18/$E$31,0)</f>
        <v>0.31009484201095738</v>
      </c>
      <c r="G18" s="40"/>
    </row>
    <row r="19" spans="1:7" s="2" customFormat="1" ht="15.75" customHeight="1" x14ac:dyDescent="0.2">
      <c r="A19" s="45" t="str">
        <f>A49</f>
        <v>1.3. Motorista Turno do Dia</v>
      </c>
      <c r="B19" s="41"/>
      <c r="C19" s="43"/>
      <c r="D19" s="43"/>
      <c r="E19" s="230">
        <f>F62</f>
        <v>1359.6706349999999</v>
      </c>
      <c r="F19" s="51">
        <f t="shared" si="0"/>
        <v>0.31009484201095738</v>
      </c>
      <c r="G19" s="4"/>
    </row>
    <row r="20" spans="1:7" s="2" customFormat="1" ht="15.75" customHeight="1" x14ac:dyDescent="0.2">
      <c r="A20" s="45" t="str">
        <f>A64</f>
        <v>1.6. Vale-refeição (diário)</v>
      </c>
      <c r="B20" s="41"/>
      <c r="C20" s="43"/>
      <c r="D20" s="43"/>
      <c r="E20" s="230">
        <f>F67</f>
        <v>0</v>
      </c>
      <c r="F20" s="51">
        <f t="shared" si="0"/>
        <v>0</v>
      </c>
      <c r="G20" s="4"/>
    </row>
    <row r="21" spans="1:7" s="2" customFormat="1" ht="15.75" customHeight="1" x14ac:dyDescent="0.2">
      <c r="A21" s="45" t="str">
        <f>A69</f>
        <v>1.7. Auxílio Alimentação (mensal)</v>
      </c>
      <c r="B21" s="41"/>
      <c r="C21" s="43"/>
      <c r="D21" s="43"/>
      <c r="E21" s="230">
        <f>F72</f>
        <v>0</v>
      </c>
      <c r="F21" s="51">
        <f t="shared" si="0"/>
        <v>0</v>
      </c>
      <c r="G21" s="4"/>
    </row>
    <row r="22" spans="1:7" s="9" customFormat="1" ht="15.75" customHeight="1" x14ac:dyDescent="0.2">
      <c r="A22" s="114" t="str">
        <f>+A77</f>
        <v>3. Veículos e Equipamentos</v>
      </c>
      <c r="B22" s="115"/>
      <c r="C22" s="105"/>
      <c r="D22" s="105"/>
      <c r="E22" s="229">
        <f>+F146</f>
        <v>2141.9208399090912</v>
      </c>
      <c r="F22" s="106">
        <f t="shared" si="0"/>
        <v>0.48849963171528438</v>
      </c>
      <c r="G22" s="40"/>
    </row>
    <row r="23" spans="1:7" s="2" customFormat="1" ht="15.75" customHeight="1" x14ac:dyDescent="0.2">
      <c r="A23" s="58" t="str">
        <f>A79</f>
        <v>3.1. Veículo de no minimo 15 passageiros</v>
      </c>
      <c r="B23" s="42"/>
      <c r="C23" s="43"/>
      <c r="D23" s="43"/>
      <c r="E23" s="230">
        <f>SUM(E24:E29)</f>
        <v>2141.9208399090912</v>
      </c>
      <c r="F23" s="120">
        <f t="shared" si="0"/>
        <v>0.48849963171528438</v>
      </c>
      <c r="G23" s="4"/>
    </row>
    <row r="24" spans="1:7" s="2" customFormat="1" ht="15.75" customHeight="1" x14ac:dyDescent="0.2">
      <c r="A24" s="58" t="str">
        <f>A81</f>
        <v>3.1.1. Depreciação</v>
      </c>
      <c r="B24" s="42"/>
      <c r="C24" s="43"/>
      <c r="D24" s="43"/>
      <c r="E24" s="230">
        <f>F90</f>
        <v>336.53751272727271</v>
      </c>
      <c r="F24" s="120">
        <f t="shared" si="0"/>
        <v>7.6752813625282273E-2</v>
      </c>
      <c r="G24" s="4"/>
    </row>
    <row r="25" spans="1:7" s="2" customFormat="1" ht="15.75" customHeight="1" x14ac:dyDescent="0.2">
      <c r="A25" s="58" t="str">
        <f>A92</f>
        <v>3.1.2. Remuneração do Capital</v>
      </c>
      <c r="B25" s="42"/>
      <c r="C25" s="43"/>
      <c r="D25" s="43"/>
      <c r="E25" s="230">
        <f>F101</f>
        <v>322.986559</v>
      </c>
      <c r="F25" s="120">
        <f t="shared" si="0"/>
        <v>7.3662299829522881E-2</v>
      </c>
      <c r="G25" s="4"/>
    </row>
    <row r="26" spans="1:7" s="2" customFormat="1" ht="15.75" customHeight="1" x14ac:dyDescent="0.2">
      <c r="A26" s="58" t="str">
        <f>A103</f>
        <v>3.1.3. Impostos e Seguros</v>
      </c>
      <c r="B26" s="42"/>
      <c r="C26" s="43"/>
      <c r="D26" s="43"/>
      <c r="E26" s="230">
        <f>F110</f>
        <v>153.08499999999998</v>
      </c>
      <c r="F26" s="120">
        <f t="shared" si="0"/>
        <v>3.4913506011878682E-2</v>
      </c>
      <c r="G26" s="4"/>
    </row>
    <row r="27" spans="1:7" s="2" customFormat="1" ht="15.75" customHeight="1" x14ac:dyDescent="0.2">
      <c r="A27" s="58" t="str">
        <f>A112</f>
        <v>3.1.4. Consumos</v>
      </c>
      <c r="B27" s="42"/>
      <c r="C27" s="43"/>
      <c r="D27" s="43"/>
      <c r="E27" s="230">
        <f>F129</f>
        <v>875.82626818181814</v>
      </c>
      <c r="F27" s="120">
        <f t="shared" si="0"/>
        <v>0.19974632184425115</v>
      </c>
      <c r="G27" s="4"/>
    </row>
    <row r="28" spans="1:7" s="2" customFormat="1" ht="15.75" customHeight="1" x14ac:dyDescent="0.2">
      <c r="A28" s="58" t="str">
        <f>A131</f>
        <v>3.1.5. Manutenção</v>
      </c>
      <c r="B28" s="42"/>
      <c r="C28" s="43"/>
      <c r="D28" s="43"/>
      <c r="E28" s="230">
        <f>F134</f>
        <v>316.38749999999999</v>
      </c>
      <c r="F28" s="120">
        <f t="shared" si="0"/>
        <v>7.2157277873947601E-2</v>
      </c>
      <c r="G28" s="4"/>
    </row>
    <row r="29" spans="1:7" s="2" customFormat="1" ht="15.75" customHeight="1" x14ac:dyDescent="0.2">
      <c r="A29" s="58" t="str">
        <f>A136</f>
        <v>3.1.6. Pneus</v>
      </c>
      <c r="B29" s="42"/>
      <c r="C29" s="43"/>
      <c r="D29" s="43"/>
      <c r="E29" s="230">
        <f>F143</f>
        <v>137.09799999999998</v>
      </c>
      <c r="F29" s="120">
        <f t="shared" si="0"/>
        <v>3.1267412530401696E-2</v>
      </c>
      <c r="G29" s="4"/>
    </row>
    <row r="30" spans="1:7" s="9" customFormat="1" ht="15.75" customHeight="1" thickBot="1" x14ac:dyDescent="0.25">
      <c r="A30" s="114" t="str">
        <f>+A151</f>
        <v>6. Benefícios e Despesas Indiretas - BDI</v>
      </c>
      <c r="B30" s="115"/>
      <c r="C30" s="105"/>
      <c r="D30" s="105"/>
      <c r="E30" s="231">
        <f>+F157</f>
        <v>883.10136997207269</v>
      </c>
      <c r="F30" s="106">
        <f t="shared" si="0"/>
        <v>0.20140552627375816</v>
      </c>
      <c r="G30" s="40"/>
    </row>
    <row r="31" spans="1:7" s="2" customFormat="1" ht="15.75" customHeight="1" thickBot="1" x14ac:dyDescent="0.25">
      <c r="A31" s="38" t="s">
        <v>221</v>
      </c>
      <c r="B31" s="39"/>
      <c r="C31" s="24"/>
      <c r="D31" s="24"/>
      <c r="E31" s="94">
        <f>E18+E22+E30</f>
        <v>4384.6928448811641</v>
      </c>
      <c r="F31" s="119">
        <f>F18+F22+F30</f>
        <v>1</v>
      </c>
      <c r="G31" s="4"/>
    </row>
    <row r="32" spans="1:7" ht="18" x14ac:dyDescent="0.2">
      <c r="A32" s="265" t="s">
        <v>222</v>
      </c>
      <c r="B32" s="265"/>
      <c r="C32" s="265"/>
      <c r="D32" s="266"/>
      <c r="E32" s="267">
        <f>E31/B115</f>
        <v>4.3846928448811644</v>
      </c>
    </row>
    <row r="33" spans="1:7" ht="13.5" thickBot="1" x14ac:dyDescent="0.25"/>
    <row r="34" spans="1:7" s="2" customFormat="1" ht="15" customHeight="1" thickBot="1" x14ac:dyDescent="0.25">
      <c r="A34" s="283" t="s">
        <v>65</v>
      </c>
      <c r="B34" s="284"/>
      <c r="C34" s="284"/>
      <c r="D34" s="284"/>
      <c r="E34" s="285"/>
      <c r="F34" s="8"/>
      <c r="G34" s="4"/>
    </row>
    <row r="35" spans="1:7" s="2" customFormat="1" ht="15" customHeight="1" thickBot="1" x14ac:dyDescent="0.25">
      <c r="A35" s="280" t="s">
        <v>29</v>
      </c>
      <c r="B35" s="281"/>
      <c r="C35" s="281"/>
      <c r="D35" s="282"/>
      <c r="E35" s="44" t="s">
        <v>30</v>
      </c>
      <c r="F35" s="8"/>
      <c r="G35" s="4"/>
    </row>
    <row r="36" spans="1:7" s="2" customFormat="1" ht="15" customHeight="1" x14ac:dyDescent="0.2">
      <c r="A36" s="60" t="str">
        <f>+A49</f>
        <v>1.3. Motorista Turno do Dia</v>
      </c>
      <c r="B36" s="59"/>
      <c r="C36" s="59"/>
      <c r="D36" s="65"/>
      <c r="E36" s="62">
        <v>1</v>
      </c>
      <c r="F36" s="8"/>
      <c r="G36" s="4"/>
    </row>
    <row r="37" spans="1:7" s="2" customFormat="1" ht="15" customHeight="1" x14ac:dyDescent="0.2">
      <c r="A37" s="60"/>
      <c r="B37" s="59"/>
      <c r="C37" s="59"/>
      <c r="D37" s="65"/>
      <c r="E37" s="62"/>
      <c r="F37" s="8"/>
      <c r="G37" s="4"/>
    </row>
    <row r="38" spans="1:7" s="2" customFormat="1" ht="15" customHeight="1" thickBot="1" x14ac:dyDescent="0.25">
      <c r="A38" s="63" t="s">
        <v>42</v>
      </c>
      <c r="B38" s="64"/>
      <c r="C38" s="64"/>
      <c r="D38" s="66"/>
      <c r="E38" s="67">
        <f>SUM(E36:E37)</f>
        <v>1</v>
      </c>
      <c r="F38" s="8"/>
      <c r="G38" s="4"/>
    </row>
    <row r="39" spans="1:7" s="2" customFormat="1" ht="15" customHeight="1" thickBot="1" x14ac:dyDescent="0.25">
      <c r="A39" s="107"/>
      <c r="B39" s="108"/>
      <c r="C39" s="52"/>
      <c r="D39" s="52"/>
      <c r="E39" s="109"/>
      <c r="F39" s="8"/>
      <c r="G39" s="4"/>
    </row>
    <row r="40" spans="1:7" s="2" customFormat="1" ht="15" customHeight="1" x14ac:dyDescent="0.2">
      <c r="A40" s="272" t="s">
        <v>41</v>
      </c>
      <c r="B40" s="273"/>
      <c r="C40" s="273"/>
      <c r="D40" s="273"/>
      <c r="E40" s="44" t="s">
        <v>30</v>
      </c>
      <c r="F40" s="7"/>
      <c r="G40" s="4"/>
    </row>
    <row r="41" spans="1:7" s="2" customFormat="1" ht="15" customHeight="1" thickBot="1" x14ac:dyDescent="0.25">
      <c r="A41" s="110" t="str">
        <f>+A79</f>
        <v>3.1. Veículo de no minimo 15 passageiros</v>
      </c>
      <c r="B41" s="111"/>
      <c r="C41" s="111"/>
      <c r="D41" s="112"/>
      <c r="E41" s="113">
        <v>1</v>
      </c>
      <c r="F41" s="7"/>
      <c r="G41" s="4"/>
    </row>
    <row r="42" spans="1:7" s="2" customFormat="1" ht="15" customHeight="1" x14ac:dyDescent="0.2">
      <c r="A42" s="52"/>
      <c r="B42" s="52"/>
      <c r="C42" s="52"/>
      <c r="D42" s="48"/>
      <c r="E42" s="228"/>
      <c r="F42" s="7"/>
      <c r="G42" s="4"/>
    </row>
    <row r="43" spans="1:7" s="2" customFormat="1" ht="13.5" thickBot="1" x14ac:dyDescent="0.25">
      <c r="A43" s="52"/>
      <c r="B43" s="52"/>
      <c r="C43" s="52"/>
      <c r="D43" s="48"/>
      <c r="E43" s="61"/>
      <c r="F43" s="7"/>
      <c r="G43" s="4"/>
    </row>
    <row r="44" spans="1:7" s="9" customFormat="1" ht="15.75" customHeight="1" thickBot="1" x14ac:dyDescent="0.25">
      <c r="A44" s="233" t="s">
        <v>160</v>
      </c>
      <c r="B44" s="260">
        <v>0.5</v>
      </c>
      <c r="C44" s="33"/>
      <c r="D44" s="32"/>
      <c r="E44" s="131"/>
      <c r="G44" s="40"/>
    </row>
    <row r="45" spans="1:7" s="2" customFormat="1" ht="15.75" customHeight="1" x14ac:dyDescent="0.2">
      <c r="A45" s="52"/>
      <c r="B45" s="52"/>
      <c r="C45" s="52"/>
      <c r="D45" s="48"/>
      <c r="E45" s="61"/>
      <c r="F45" s="7"/>
      <c r="G45" s="4"/>
    </row>
    <row r="46" spans="1:7" ht="13.15" customHeight="1" x14ac:dyDescent="0.2">
      <c r="A46" s="9" t="s">
        <v>35</v>
      </c>
    </row>
    <row r="47" spans="1:7" ht="11.25" customHeight="1" x14ac:dyDescent="0.2"/>
    <row r="48" spans="1:7" ht="11.25" customHeight="1" x14ac:dyDescent="0.2"/>
    <row r="49" spans="1:7" ht="13.5" thickBot="1" x14ac:dyDescent="0.25">
      <c r="A49" s="7" t="s">
        <v>66</v>
      </c>
    </row>
    <row r="50" spans="1:7" s="10" customFormat="1" ht="13.15" customHeight="1" thickBot="1" x14ac:dyDescent="0.25">
      <c r="A50" s="53" t="s">
        <v>44</v>
      </c>
      <c r="B50" s="54" t="s">
        <v>45</v>
      </c>
      <c r="C50" s="54" t="s">
        <v>30</v>
      </c>
      <c r="D50" s="55" t="s">
        <v>194</v>
      </c>
      <c r="E50" s="55" t="s">
        <v>46</v>
      </c>
      <c r="F50" s="56" t="s">
        <v>47</v>
      </c>
      <c r="G50" s="8"/>
    </row>
    <row r="51" spans="1:7" x14ac:dyDescent="0.2">
      <c r="A51" s="11" t="s">
        <v>176</v>
      </c>
      <c r="B51" s="12" t="s">
        <v>7</v>
      </c>
      <c r="C51" s="12">
        <v>1</v>
      </c>
      <c r="D51" s="71">
        <v>1964.7</v>
      </c>
      <c r="E51" s="13">
        <f>C51*D51</f>
        <v>1964.7</v>
      </c>
    </row>
    <row r="52" spans="1:7" x14ac:dyDescent="0.2">
      <c r="A52" s="11" t="s">
        <v>177</v>
      </c>
      <c r="B52" s="12" t="s">
        <v>7</v>
      </c>
      <c r="C52" s="12">
        <v>1</v>
      </c>
      <c r="D52" s="71"/>
      <c r="E52" s="13"/>
    </row>
    <row r="53" spans="1:7" x14ac:dyDescent="0.2">
      <c r="A53" s="14" t="s">
        <v>25</v>
      </c>
      <c r="B53" s="15" t="s">
        <v>0</v>
      </c>
      <c r="C53" s="72"/>
      <c r="D53" s="16">
        <f>D51/220*2</f>
        <v>17.860909090909093</v>
      </c>
      <c r="E53" s="16">
        <f>C53*D53</f>
        <v>0</v>
      </c>
      <c r="G53" s="8" t="s">
        <v>209</v>
      </c>
    </row>
    <row r="54" spans="1:7" x14ac:dyDescent="0.2">
      <c r="A54" s="14" t="s">
        <v>26</v>
      </c>
      <c r="B54" s="15" t="s">
        <v>0</v>
      </c>
      <c r="C54" s="72">
        <v>0</v>
      </c>
      <c r="D54" s="16">
        <f>D51/220*1.5</f>
        <v>13.395681818181821</v>
      </c>
      <c r="E54" s="16">
        <f>C54*D54</f>
        <v>0</v>
      </c>
      <c r="G54" s="8" t="s">
        <v>210</v>
      </c>
    </row>
    <row r="55" spans="1:7" ht="13.15" customHeight="1" x14ac:dyDescent="0.2">
      <c r="A55" s="14" t="s">
        <v>179</v>
      </c>
      <c r="B55" s="15" t="s">
        <v>24</v>
      </c>
      <c r="D55" s="16">
        <f>63/302*(SUM(E53:E54))</f>
        <v>0</v>
      </c>
      <c r="E55" s="16">
        <f>D55</f>
        <v>0</v>
      </c>
      <c r="G55" s="8" t="s">
        <v>178</v>
      </c>
    </row>
    <row r="56" spans="1:7" x14ac:dyDescent="0.2">
      <c r="A56" s="14" t="s">
        <v>175</v>
      </c>
      <c r="B56" s="15"/>
      <c r="C56" s="74">
        <v>1</v>
      </c>
      <c r="D56" s="16"/>
      <c r="E56" s="16"/>
    </row>
    <row r="57" spans="1:7" x14ac:dyDescent="0.2">
      <c r="A57" s="14" t="s">
        <v>1</v>
      </c>
      <c r="B57" s="15" t="s">
        <v>2</v>
      </c>
      <c r="C57" s="70">
        <v>0</v>
      </c>
      <c r="D57" s="68">
        <f>IF(C56=2,SUM(E51:E55),IF(C56=1,(SUM(E51:E55))*D52/D51,0))</f>
        <v>0</v>
      </c>
      <c r="E57" s="16">
        <f>C57*D57/100</f>
        <v>0</v>
      </c>
    </row>
    <row r="58" spans="1:7" s="9" customFormat="1" x14ac:dyDescent="0.2">
      <c r="A58" s="83" t="s">
        <v>3</v>
      </c>
      <c r="B58" s="97"/>
      <c r="C58" s="97"/>
      <c r="D58" s="98"/>
      <c r="E58" s="85">
        <f>SUM(E51:E57)</f>
        <v>1964.7</v>
      </c>
      <c r="F58" s="40"/>
      <c r="G58" s="40"/>
    </row>
    <row r="59" spans="1:7" x14ac:dyDescent="0.2">
      <c r="A59" s="14" t="s">
        <v>4</v>
      </c>
      <c r="B59" s="15" t="s">
        <v>2</v>
      </c>
      <c r="C59" s="257">
        <f>'2.Encargos Sociais'!$C$34</f>
        <v>0.3841</v>
      </c>
      <c r="D59" s="16">
        <f>E58</f>
        <v>1964.7</v>
      </c>
      <c r="E59" s="16">
        <f>D59*C59</f>
        <v>754.64126999999996</v>
      </c>
    </row>
    <row r="60" spans="1:7" s="9" customFormat="1" x14ac:dyDescent="0.2">
      <c r="A60" s="83" t="s">
        <v>211</v>
      </c>
      <c r="B60" s="239"/>
      <c r="C60" s="239"/>
      <c r="D60" s="240"/>
      <c r="E60" s="85">
        <f>E58+E59</f>
        <v>2719.3412699999999</v>
      </c>
      <c r="F60" s="40"/>
      <c r="G60" s="40"/>
    </row>
    <row r="61" spans="1:7" ht="13.5" thickBot="1" x14ac:dyDescent="0.25">
      <c r="A61" s="14" t="s">
        <v>5</v>
      </c>
      <c r="B61" s="15" t="s">
        <v>6</v>
      </c>
      <c r="C61" s="70">
        <v>1</v>
      </c>
      <c r="D61" s="16">
        <f>E60</f>
        <v>2719.3412699999999</v>
      </c>
      <c r="E61" s="16">
        <f>C61*D61</f>
        <v>2719.3412699999999</v>
      </c>
    </row>
    <row r="62" spans="1:7" ht="13.5" thickBot="1" x14ac:dyDescent="0.25">
      <c r="D62" s="101" t="s">
        <v>159</v>
      </c>
      <c r="E62" s="46">
        <f>$B$44</f>
        <v>0.5</v>
      </c>
      <c r="F62" s="102">
        <f>E61*E62</f>
        <v>1359.6706349999999</v>
      </c>
    </row>
    <row r="63" spans="1:7" ht="11.25" customHeight="1" x14ac:dyDescent="0.2"/>
    <row r="64" spans="1:7" ht="13.5" thickBot="1" x14ac:dyDescent="0.25">
      <c r="A64" s="7" t="s">
        <v>82</v>
      </c>
      <c r="F64" s="21"/>
      <c r="G64" s="7"/>
    </row>
    <row r="65" spans="1:7" ht="13.5" thickBot="1" x14ac:dyDescent="0.25">
      <c r="A65" s="53" t="s">
        <v>44</v>
      </c>
      <c r="B65" s="54" t="s">
        <v>45</v>
      </c>
      <c r="C65" s="54" t="s">
        <v>30</v>
      </c>
      <c r="D65" s="55" t="s">
        <v>194</v>
      </c>
      <c r="E65" s="55" t="s">
        <v>46</v>
      </c>
      <c r="F65" s="56" t="s">
        <v>47</v>
      </c>
      <c r="G65" s="7"/>
    </row>
    <row r="66" spans="1:7" ht="13.5" thickBot="1" x14ac:dyDescent="0.25">
      <c r="A66" s="258" t="s">
        <v>220</v>
      </c>
      <c r="B66" s="15" t="s">
        <v>8</v>
      </c>
      <c r="C66" s="82">
        <v>0</v>
      </c>
      <c r="D66" s="76"/>
      <c r="E66" s="46">
        <f>C66*D66</f>
        <v>0</v>
      </c>
      <c r="F66" s="21"/>
      <c r="G66" s="7"/>
    </row>
    <row r="67" spans="1:7" ht="13.5" thickBot="1" x14ac:dyDescent="0.25">
      <c r="F67" s="20">
        <f>SUM(E66:E66)</f>
        <v>0</v>
      </c>
      <c r="G67" s="7"/>
    </row>
    <row r="68" spans="1:7" x14ac:dyDescent="0.2">
      <c r="G68" s="7"/>
    </row>
    <row r="69" spans="1:7" ht="13.5" thickBot="1" x14ac:dyDescent="0.25">
      <c r="A69" s="7" t="s">
        <v>83</v>
      </c>
      <c r="F69" s="21"/>
      <c r="G69" s="7"/>
    </row>
    <row r="70" spans="1:7" ht="13.5" thickBot="1" x14ac:dyDescent="0.25">
      <c r="A70" s="53" t="s">
        <v>44</v>
      </c>
      <c r="B70" s="54" t="s">
        <v>45</v>
      </c>
      <c r="C70" s="54" t="s">
        <v>30</v>
      </c>
      <c r="D70" s="55" t="s">
        <v>194</v>
      </c>
      <c r="E70" s="55" t="s">
        <v>46</v>
      </c>
      <c r="F70" s="56" t="s">
        <v>47</v>
      </c>
      <c r="G70" s="7"/>
    </row>
    <row r="71" spans="1:7" ht="13.5" thickBot="1" x14ac:dyDescent="0.25">
      <c r="A71" s="14" t="str">
        <f>+A66</f>
        <v>Vale alimentação</v>
      </c>
      <c r="B71" s="15" t="s">
        <v>8</v>
      </c>
      <c r="C71" s="82">
        <v>1</v>
      </c>
      <c r="D71" s="76"/>
      <c r="E71" s="46">
        <f>C71*D71</f>
        <v>0</v>
      </c>
      <c r="F71" s="21"/>
      <c r="G71" s="7"/>
    </row>
    <row r="72" spans="1:7" ht="13.5" thickBot="1" x14ac:dyDescent="0.25">
      <c r="D72" s="101" t="s">
        <v>159</v>
      </c>
      <c r="E72" s="46">
        <f>$B$44</f>
        <v>0.5</v>
      </c>
      <c r="F72" s="20">
        <f>SUM(E71:E71)*E72</f>
        <v>0</v>
      </c>
      <c r="G72" s="7"/>
    </row>
    <row r="73" spans="1:7" ht="13.5" thickBot="1" x14ac:dyDescent="0.25">
      <c r="G73" s="7"/>
    </row>
    <row r="74" spans="1:7" ht="13.5" thickBot="1" x14ac:dyDescent="0.25">
      <c r="A74" s="22" t="s">
        <v>64</v>
      </c>
      <c r="B74" s="23"/>
      <c r="C74" s="23"/>
      <c r="D74" s="24"/>
      <c r="E74" s="25"/>
      <c r="F74" s="20">
        <f>F72+F67+F62</f>
        <v>1359.6706349999999</v>
      </c>
      <c r="G74" s="7"/>
    </row>
    <row r="76" spans="1:7" ht="11.25" customHeight="1" x14ac:dyDescent="0.2">
      <c r="G76" s="7"/>
    </row>
    <row r="77" spans="1:7" x14ac:dyDescent="0.2">
      <c r="A77" s="9" t="s">
        <v>39</v>
      </c>
      <c r="G77" s="7"/>
    </row>
    <row r="78" spans="1:7" ht="11.25" customHeight="1" x14ac:dyDescent="0.2">
      <c r="B78" s="87"/>
      <c r="G78" s="7"/>
    </row>
    <row r="79" spans="1:7" x14ac:dyDescent="0.2">
      <c r="A79" s="5" t="s">
        <v>243</v>
      </c>
      <c r="G79" s="7"/>
    </row>
    <row r="80" spans="1:7" ht="11.25" customHeight="1" x14ac:dyDescent="0.2">
      <c r="G80" s="7"/>
    </row>
    <row r="81" spans="1:10" ht="13.5" thickBot="1" x14ac:dyDescent="0.25">
      <c r="A81" s="87" t="s">
        <v>34</v>
      </c>
      <c r="G81" s="7"/>
    </row>
    <row r="82" spans="1:10" ht="13.5" thickBot="1" x14ac:dyDescent="0.25">
      <c r="A82" s="53" t="s">
        <v>44</v>
      </c>
      <c r="B82" s="54" t="s">
        <v>45</v>
      </c>
      <c r="C82" s="54" t="s">
        <v>30</v>
      </c>
      <c r="D82" s="55" t="s">
        <v>194</v>
      </c>
      <c r="E82" s="55" t="s">
        <v>46</v>
      </c>
      <c r="F82" s="56" t="s">
        <v>47</v>
      </c>
      <c r="G82" s="7"/>
    </row>
    <row r="83" spans="1:10" x14ac:dyDescent="0.2">
      <c r="A83" s="11" t="s">
        <v>71</v>
      </c>
      <c r="B83" s="12" t="s">
        <v>8</v>
      </c>
      <c r="C83" s="246">
        <v>1</v>
      </c>
      <c r="D83" s="71">
        <f>(81647+92359+87058+56846+71760+77483+78149+60655+65656+65200+61013)/11</f>
        <v>72529.636363636368</v>
      </c>
      <c r="E83" s="13">
        <f>C83*D83</f>
        <v>72529.636363636368</v>
      </c>
      <c r="G83" s="7"/>
    </row>
    <row r="84" spans="1:10" x14ac:dyDescent="0.2">
      <c r="A84" s="14" t="s">
        <v>68</v>
      </c>
      <c r="B84" s="15" t="s">
        <v>69</v>
      </c>
      <c r="C84" s="70">
        <v>5</v>
      </c>
      <c r="D84" s="68"/>
      <c r="E84" s="16"/>
      <c r="G84" s="7"/>
    </row>
    <row r="85" spans="1:10" x14ac:dyDescent="0.2">
      <c r="A85" s="14" t="s">
        <v>172</v>
      </c>
      <c r="B85" s="15" t="s">
        <v>69</v>
      </c>
      <c r="C85" s="70">
        <v>0</v>
      </c>
      <c r="D85" s="16"/>
      <c r="E85" s="16"/>
      <c r="F85" s="18"/>
      <c r="I85" s="69"/>
      <c r="J85" s="69"/>
    </row>
    <row r="86" spans="1:10" x14ac:dyDescent="0.2">
      <c r="A86" s="14" t="s">
        <v>70</v>
      </c>
      <c r="B86" s="15" t="s">
        <v>2</v>
      </c>
      <c r="C86" s="118">
        <f>IFERROR(VLOOKUP(C84,'5. Depreciação'!A3:B17,2,FALSE),0)</f>
        <v>55.679999999999993</v>
      </c>
      <c r="D86" s="16">
        <f>E83</f>
        <v>72529.636363636368</v>
      </c>
      <c r="E86" s="16">
        <f>C86*D86/100</f>
        <v>40384.501527272725</v>
      </c>
    </row>
    <row r="87" spans="1:10" ht="13.5" thickBot="1" x14ac:dyDescent="0.25">
      <c r="A87" s="252" t="s">
        <v>229</v>
      </c>
      <c r="B87" s="253" t="s">
        <v>7</v>
      </c>
      <c r="C87" s="253">
        <f>C84*12</f>
        <v>60</v>
      </c>
      <c r="D87" s="254">
        <f>IF(C85&lt;=C84,E86,0)</f>
        <v>40384.501527272725</v>
      </c>
      <c r="E87" s="254">
        <f>IFERROR(D87/C87,0)</f>
        <v>673.07502545454543</v>
      </c>
    </row>
    <row r="88" spans="1:10" ht="13.5" thickTop="1" x14ac:dyDescent="0.2">
      <c r="A88" s="96" t="s">
        <v>215</v>
      </c>
      <c r="B88" s="97"/>
      <c r="C88" s="97"/>
      <c r="D88" s="98"/>
      <c r="E88" s="99">
        <f>E87</f>
        <v>673.07502545454543</v>
      </c>
    </row>
    <row r="89" spans="1:10" ht="13.5" thickBot="1" x14ac:dyDescent="0.25">
      <c r="A89" s="83" t="s">
        <v>216</v>
      </c>
      <c r="B89" s="84" t="s">
        <v>8</v>
      </c>
      <c r="C89" s="70">
        <v>1</v>
      </c>
      <c r="D89" s="85">
        <f>E88</f>
        <v>673.07502545454543</v>
      </c>
      <c r="E89" s="99">
        <f>C89*D89</f>
        <v>673.07502545454543</v>
      </c>
    </row>
    <row r="90" spans="1:10" ht="13.5" thickBot="1" x14ac:dyDescent="0.25">
      <c r="A90" s="245"/>
      <c r="B90" s="245"/>
      <c r="C90" s="245"/>
      <c r="D90" s="101" t="s">
        <v>159</v>
      </c>
      <c r="E90" s="46">
        <f>$B$44</f>
        <v>0.5</v>
      </c>
      <c r="F90" s="19">
        <f>E89*E90</f>
        <v>336.53751272727271</v>
      </c>
    </row>
    <row r="91" spans="1:10" ht="11.25" customHeight="1" x14ac:dyDescent="0.2"/>
    <row r="92" spans="1:10" ht="13.5" thickBot="1" x14ac:dyDescent="0.25">
      <c r="A92" s="87" t="s">
        <v>75</v>
      </c>
    </row>
    <row r="93" spans="1:10" ht="13.5" thickBot="1" x14ac:dyDescent="0.25">
      <c r="A93" s="89" t="s">
        <v>44</v>
      </c>
      <c r="B93" s="90" t="s">
        <v>45</v>
      </c>
      <c r="C93" s="90" t="s">
        <v>30</v>
      </c>
      <c r="D93" s="55" t="s">
        <v>194</v>
      </c>
      <c r="E93" s="91" t="s">
        <v>46</v>
      </c>
      <c r="F93" s="56" t="s">
        <v>47</v>
      </c>
      <c r="I93" s="69"/>
      <c r="J93" s="69"/>
    </row>
    <row r="94" spans="1:10" x14ac:dyDescent="0.2">
      <c r="A94" s="14" t="s">
        <v>74</v>
      </c>
      <c r="B94" s="15" t="s">
        <v>8</v>
      </c>
      <c r="C94" s="246">
        <v>1</v>
      </c>
      <c r="D94" s="16">
        <f>D83</f>
        <v>72529.636363636368</v>
      </c>
      <c r="E94" s="16">
        <f>C94*D94</f>
        <v>72529.636363636368</v>
      </c>
      <c r="F94" s="18"/>
      <c r="I94" s="69"/>
      <c r="J94" s="69"/>
    </row>
    <row r="95" spans="1:10" x14ac:dyDescent="0.2">
      <c r="A95" s="14" t="s">
        <v>174</v>
      </c>
      <c r="B95" s="15" t="s">
        <v>2</v>
      </c>
      <c r="C95" s="70">
        <v>13.75</v>
      </c>
      <c r="D95" s="16"/>
      <c r="E95" s="16"/>
      <c r="F95" s="18"/>
      <c r="I95" s="69"/>
      <c r="J95" s="69"/>
    </row>
    <row r="96" spans="1:10" x14ac:dyDescent="0.2">
      <c r="A96" s="14" t="s">
        <v>173</v>
      </c>
      <c r="B96" s="15" t="s">
        <v>24</v>
      </c>
      <c r="C96" s="125">
        <f>IFERROR(IF(C85&lt;=C84,E83-(C86/(100*C84)*C85)*E83,E83-E86),0)</f>
        <v>72529.636363636368</v>
      </c>
      <c r="D96" s="16"/>
      <c r="E96" s="16"/>
      <c r="F96" s="18"/>
      <c r="I96" s="69"/>
      <c r="J96" s="69"/>
    </row>
    <row r="97" spans="1:10" x14ac:dyDescent="0.2">
      <c r="A97" s="14" t="s">
        <v>77</v>
      </c>
      <c r="B97" s="15" t="s">
        <v>24</v>
      </c>
      <c r="C97" s="68">
        <f>IFERROR(IF(C85&gt;=C84,C96,((((C96)-(E83-E86))*(((C84-C85)+1)/(2*(C84-C85))))+(E83-E86))),0)</f>
        <v>56375.835752727275</v>
      </c>
      <c r="D97" s="16"/>
      <c r="E97" s="16"/>
      <c r="F97" s="18"/>
      <c r="I97" s="69"/>
      <c r="J97" s="69"/>
    </row>
    <row r="98" spans="1:10" ht="13.5" thickBot="1" x14ac:dyDescent="0.25">
      <c r="A98" s="252" t="s">
        <v>78</v>
      </c>
      <c r="B98" s="253" t="s">
        <v>24</v>
      </c>
      <c r="C98" s="253"/>
      <c r="D98" s="255">
        <f>C95*C97/12/100</f>
        <v>645.973118</v>
      </c>
      <c r="E98" s="254">
        <f>D98</f>
        <v>645.973118</v>
      </c>
      <c r="F98" s="18"/>
      <c r="I98" s="69"/>
      <c r="J98" s="69"/>
    </row>
    <row r="99" spans="1:10" ht="13.5" thickTop="1" x14ac:dyDescent="0.2">
      <c r="A99" s="96" t="s">
        <v>215</v>
      </c>
      <c r="B99" s="97"/>
      <c r="C99" s="97"/>
      <c r="D99" s="98"/>
      <c r="E99" s="99">
        <f>E98</f>
        <v>645.973118</v>
      </c>
      <c r="F99" s="18"/>
      <c r="I99" s="69"/>
      <c r="J99" s="69"/>
    </row>
    <row r="100" spans="1:10" ht="13.5" thickBot="1" x14ac:dyDescent="0.25">
      <c r="A100" s="83" t="s">
        <v>216</v>
      </c>
      <c r="B100" s="84" t="s">
        <v>8</v>
      </c>
      <c r="C100" s="247">
        <f>C89</f>
        <v>1</v>
      </c>
      <c r="D100" s="85">
        <f>E99</f>
        <v>645.973118</v>
      </c>
      <c r="E100" s="99">
        <f>C100*D100</f>
        <v>645.973118</v>
      </c>
      <c r="F100" s="18"/>
      <c r="I100" s="69"/>
      <c r="J100" s="69"/>
    </row>
    <row r="101" spans="1:10" ht="13.5" thickBot="1" x14ac:dyDescent="0.25">
      <c r="C101" s="17"/>
      <c r="D101" s="101" t="s">
        <v>159</v>
      </c>
      <c r="E101" s="46">
        <f>$B$44</f>
        <v>0.5</v>
      </c>
      <c r="F101" s="19">
        <f>E100*E101</f>
        <v>322.986559</v>
      </c>
      <c r="I101" s="69"/>
      <c r="J101" s="69"/>
    </row>
    <row r="102" spans="1:10" ht="11.25" customHeight="1" x14ac:dyDescent="0.2">
      <c r="I102" s="69"/>
      <c r="J102" s="69"/>
    </row>
    <row r="103" spans="1:10" ht="13.5" thickBot="1" x14ac:dyDescent="0.25">
      <c r="A103" s="7" t="s">
        <v>36</v>
      </c>
      <c r="I103" s="69"/>
      <c r="J103" s="69"/>
    </row>
    <row r="104" spans="1:10" ht="13.5" thickBot="1" x14ac:dyDescent="0.25">
      <c r="A104" s="53" t="s">
        <v>44</v>
      </c>
      <c r="B104" s="54" t="s">
        <v>45</v>
      </c>
      <c r="C104" s="54" t="s">
        <v>30</v>
      </c>
      <c r="D104" s="55" t="s">
        <v>194</v>
      </c>
      <c r="E104" s="55" t="s">
        <v>46</v>
      </c>
      <c r="F104" s="56" t="s">
        <v>47</v>
      </c>
      <c r="I104" s="69"/>
      <c r="J104" s="69"/>
    </row>
    <row r="105" spans="1:10" x14ac:dyDescent="0.2">
      <c r="A105" s="11" t="s">
        <v>9</v>
      </c>
      <c r="B105" s="12" t="s">
        <v>8</v>
      </c>
      <c r="C105" s="13">
        <v>0</v>
      </c>
      <c r="D105" s="13">
        <f>0.01*D83</f>
        <v>725.29636363636371</v>
      </c>
      <c r="E105" s="13">
        <f>C105*D105</f>
        <v>0</v>
      </c>
      <c r="I105" s="69"/>
      <c r="J105" s="69"/>
    </row>
    <row r="106" spans="1:10" x14ac:dyDescent="0.2">
      <c r="A106" s="14" t="s">
        <v>158</v>
      </c>
      <c r="B106" s="15" t="s">
        <v>8</v>
      </c>
      <c r="C106" s="13">
        <f>C83</f>
        <v>1</v>
      </c>
      <c r="D106" s="73">
        <v>94.1</v>
      </c>
      <c r="E106" s="16">
        <f>C106*D106</f>
        <v>94.1</v>
      </c>
      <c r="I106" s="69"/>
      <c r="J106" s="69"/>
    </row>
    <row r="107" spans="1:10" x14ac:dyDescent="0.2">
      <c r="A107" s="258" t="s">
        <v>225</v>
      </c>
      <c r="B107" s="268" t="s">
        <v>45</v>
      </c>
      <c r="C107" s="13">
        <v>3</v>
      </c>
      <c r="D107" s="73">
        <v>150</v>
      </c>
      <c r="E107" s="16">
        <f>C107*D107</f>
        <v>450</v>
      </c>
      <c r="I107" s="69"/>
      <c r="J107" s="69"/>
    </row>
    <row r="108" spans="1:10" x14ac:dyDescent="0.2">
      <c r="A108" s="14" t="s">
        <v>10</v>
      </c>
      <c r="B108" s="15" t="s">
        <v>8</v>
      </c>
      <c r="C108" s="13">
        <f>C83</f>
        <v>1</v>
      </c>
      <c r="D108" s="73">
        <v>2517.6</v>
      </c>
      <c r="E108" s="16">
        <f>C108*D108</f>
        <v>2517.6</v>
      </c>
      <c r="F108" s="29"/>
      <c r="I108" s="69"/>
      <c r="J108" s="69"/>
    </row>
    <row r="109" spans="1:10" ht="13.5" thickBot="1" x14ac:dyDescent="0.25">
      <c r="A109" s="83" t="s">
        <v>11</v>
      </c>
      <c r="B109" s="84" t="s">
        <v>7</v>
      </c>
      <c r="C109" s="84">
        <v>10</v>
      </c>
      <c r="D109" s="85">
        <f>SUM(E105:E108)</f>
        <v>3061.7</v>
      </c>
      <c r="E109" s="85">
        <f>D109/C109</f>
        <v>306.16999999999996</v>
      </c>
      <c r="I109" s="69"/>
      <c r="J109" s="69"/>
    </row>
    <row r="110" spans="1:10" ht="13.5" thickBot="1" x14ac:dyDescent="0.25">
      <c r="D110" s="101" t="s">
        <v>159</v>
      </c>
      <c r="E110" s="46">
        <f>$B$44</f>
        <v>0.5</v>
      </c>
      <c r="F110" s="102">
        <f>E109*E110</f>
        <v>153.08499999999998</v>
      </c>
      <c r="I110" s="69"/>
      <c r="J110" s="69"/>
    </row>
    <row r="111" spans="1:10" ht="11.25" customHeight="1" x14ac:dyDescent="0.2">
      <c r="I111" s="69"/>
      <c r="J111" s="69"/>
    </row>
    <row r="112" spans="1:10" x14ac:dyDescent="0.2">
      <c r="A112" s="7" t="s">
        <v>37</v>
      </c>
      <c r="B112" s="30"/>
      <c r="I112" s="69"/>
      <c r="J112" s="69"/>
    </row>
    <row r="113" spans="1:10" x14ac:dyDescent="0.2">
      <c r="A113" s="83" t="s">
        <v>227</v>
      </c>
      <c r="B113" s="93">
        <v>50</v>
      </c>
      <c r="I113" s="69"/>
      <c r="J113" s="69"/>
    </row>
    <row r="114" spans="1:10" x14ac:dyDescent="0.2">
      <c r="A114" s="83" t="s">
        <v>228</v>
      </c>
      <c r="B114" s="93">
        <v>20</v>
      </c>
      <c r="I114" s="69"/>
      <c r="J114" s="69"/>
    </row>
    <row r="115" spans="1:10" x14ac:dyDescent="0.2">
      <c r="A115" s="83" t="s">
        <v>79</v>
      </c>
      <c r="B115" s="93">
        <f>B113*B114</f>
        <v>1000</v>
      </c>
      <c r="I115" s="69"/>
      <c r="J115" s="69"/>
    </row>
    <row r="116" spans="1:10" ht="13.5" thickBot="1" x14ac:dyDescent="0.25">
      <c r="B116" s="30"/>
      <c r="I116" s="69"/>
      <c r="J116" s="69"/>
    </row>
    <row r="117" spans="1:10" ht="13.5" thickBot="1" x14ac:dyDescent="0.25">
      <c r="A117" s="53" t="s">
        <v>44</v>
      </c>
      <c r="B117" s="54" t="s">
        <v>45</v>
      </c>
      <c r="C117" s="54" t="s">
        <v>214</v>
      </c>
      <c r="D117" s="55" t="s">
        <v>194</v>
      </c>
      <c r="E117" s="55" t="s">
        <v>46</v>
      </c>
      <c r="F117" s="56" t="s">
        <v>47</v>
      </c>
      <c r="I117" s="69"/>
      <c r="J117" s="69"/>
    </row>
    <row r="118" spans="1:10" x14ac:dyDescent="0.2">
      <c r="A118" s="11" t="s">
        <v>12</v>
      </c>
      <c r="B118" s="12" t="s">
        <v>13</v>
      </c>
      <c r="C118" s="78">
        <v>8</v>
      </c>
      <c r="D118" s="79">
        <v>6.49</v>
      </c>
      <c r="E118" s="13">
        <f>D118/C118</f>
        <v>0.81125000000000003</v>
      </c>
      <c r="I118" s="69"/>
      <c r="J118" s="69"/>
    </row>
    <row r="119" spans="1:10" x14ac:dyDescent="0.2">
      <c r="A119" s="14" t="s">
        <v>14</v>
      </c>
      <c r="B119" s="15" t="s">
        <v>15</v>
      </c>
      <c r="C119" s="75">
        <f>B115</f>
        <v>1000</v>
      </c>
      <c r="D119" s="244">
        <f>IFERROR(+D118/C118,"-")</f>
        <v>0.81125000000000003</v>
      </c>
      <c r="E119" s="16">
        <f>IFERROR(C119*D119,"-")</f>
        <v>811.25</v>
      </c>
      <c r="I119" s="69"/>
      <c r="J119" s="69"/>
    </row>
    <row r="120" spans="1:10" x14ac:dyDescent="0.2">
      <c r="A120" s="14" t="s">
        <v>195</v>
      </c>
      <c r="B120" s="15" t="s">
        <v>16</v>
      </c>
      <c r="C120" s="81">
        <v>9</v>
      </c>
      <c r="D120" s="73">
        <f>(8.775+10+14.99+18.75+13.499+13.6+8.95+17.495+14.65)/9</f>
        <v>13.412111111111111</v>
      </c>
      <c r="E120" s="16"/>
      <c r="G120" s="92"/>
      <c r="H120" s="47"/>
      <c r="I120" s="69"/>
      <c r="J120" s="69"/>
    </row>
    <row r="121" spans="1:10" x14ac:dyDescent="0.2">
      <c r="A121" s="14" t="s">
        <v>17</v>
      </c>
      <c r="B121" s="15" t="s">
        <v>15</v>
      </c>
      <c r="C121" s="75">
        <f>C119</f>
        <v>1000</v>
      </c>
      <c r="D121" s="241">
        <f>+C120*D120/5000</f>
        <v>2.4141800000000001E-2</v>
      </c>
      <c r="E121" s="16">
        <f>C121*D121</f>
        <v>24.1418</v>
      </c>
      <c r="G121" s="92"/>
      <c r="H121" s="47"/>
      <c r="I121" s="69"/>
      <c r="J121" s="69"/>
    </row>
    <row r="122" spans="1:10" x14ac:dyDescent="0.2">
      <c r="A122" s="14" t="s">
        <v>196</v>
      </c>
      <c r="B122" s="15" t="s">
        <v>16</v>
      </c>
      <c r="C122" s="81">
        <v>9</v>
      </c>
      <c r="D122" s="73">
        <f>(14.95+21.39+14.95+7.765+14.95+9.95+9.95+21.61+22.09+19.35)/10</f>
        <v>15.695500000000001</v>
      </c>
      <c r="E122" s="16"/>
      <c r="G122" s="92"/>
      <c r="H122" s="47"/>
      <c r="I122" s="69"/>
      <c r="J122" s="69"/>
    </row>
    <row r="123" spans="1:10" x14ac:dyDescent="0.2">
      <c r="A123" s="14" t="s">
        <v>18</v>
      </c>
      <c r="B123" s="15" t="s">
        <v>15</v>
      </c>
      <c r="C123" s="75">
        <f>C119</f>
        <v>1000</v>
      </c>
      <c r="D123" s="241">
        <f>+C122*D122/5000</f>
        <v>2.82519E-2</v>
      </c>
      <c r="E123" s="16">
        <f>C123*D123</f>
        <v>28.251899999999999</v>
      </c>
      <c r="G123" s="92"/>
      <c r="H123" s="47"/>
      <c r="I123" s="69"/>
      <c r="J123" s="69"/>
    </row>
    <row r="124" spans="1:10" x14ac:dyDescent="0.2">
      <c r="A124" s="14" t="s">
        <v>197</v>
      </c>
      <c r="B124" s="15" t="s">
        <v>16</v>
      </c>
      <c r="C124" s="81"/>
      <c r="D124" s="73"/>
      <c r="E124" s="16"/>
      <c r="G124" s="92"/>
      <c r="H124" s="47"/>
      <c r="I124" s="69"/>
      <c r="J124" s="69"/>
    </row>
    <row r="125" spans="1:10" x14ac:dyDescent="0.2">
      <c r="A125" s="14" t="s">
        <v>19</v>
      </c>
      <c r="B125" s="15" t="s">
        <v>15</v>
      </c>
      <c r="C125" s="75"/>
      <c r="D125" s="241">
        <f>+C124*D124/1000</f>
        <v>0</v>
      </c>
      <c r="E125" s="16">
        <f>C125*D125</f>
        <v>0</v>
      </c>
      <c r="G125" s="92"/>
      <c r="H125" s="47"/>
      <c r="I125" s="69"/>
      <c r="J125" s="69"/>
    </row>
    <row r="126" spans="1:10" x14ac:dyDescent="0.2">
      <c r="A126" s="14" t="s">
        <v>20</v>
      </c>
      <c r="B126" s="15" t="s">
        <v>21</v>
      </c>
      <c r="C126" s="81">
        <v>2.5</v>
      </c>
      <c r="D126" s="73">
        <f>(23.399+22.08+15.39+11.44+25.17+39.99+10.99+8.91+31.2+27.49+34.11)/11</f>
        <v>22.742636363636361</v>
      </c>
      <c r="E126" s="16"/>
      <c r="G126" s="92"/>
      <c r="H126" s="47"/>
      <c r="I126" s="69"/>
      <c r="J126" s="69"/>
    </row>
    <row r="127" spans="1:10" x14ac:dyDescent="0.2">
      <c r="A127" s="14" t="s">
        <v>22</v>
      </c>
      <c r="B127" s="15" t="s">
        <v>15</v>
      </c>
      <c r="C127" s="75">
        <f>C119</f>
        <v>1000</v>
      </c>
      <c r="D127" s="241">
        <f>+C126*D126/5000</f>
        <v>1.137131818181818E-2</v>
      </c>
      <c r="E127" s="16">
        <f>C127*D127</f>
        <v>11.371318181818181</v>
      </c>
      <c r="G127" s="92"/>
      <c r="H127" s="47"/>
      <c r="I127" s="69"/>
      <c r="J127" s="69"/>
    </row>
    <row r="128" spans="1:10" ht="13.5" thickBot="1" x14ac:dyDescent="0.25">
      <c r="A128" s="83" t="s">
        <v>213</v>
      </c>
      <c r="B128" s="84" t="s">
        <v>80</v>
      </c>
      <c r="C128" s="242"/>
      <c r="D128" s="243">
        <f>IFERROR(D119+D121+D123+D125+D127,0)</f>
        <v>0.87501501818181815</v>
      </c>
      <c r="E128" s="16"/>
      <c r="G128" s="92"/>
      <c r="H128" s="47"/>
      <c r="I128" s="69"/>
      <c r="J128" s="69"/>
    </row>
    <row r="129" spans="1:10" ht="13.5" thickBot="1" x14ac:dyDescent="0.25">
      <c r="F129" s="19">
        <f>SUM(E118:E127)</f>
        <v>875.82626818181814</v>
      </c>
      <c r="I129" s="69"/>
      <c r="J129" s="69"/>
    </row>
    <row r="130" spans="1:10" ht="11.25" customHeight="1" x14ac:dyDescent="0.2">
      <c r="I130" s="69"/>
      <c r="J130" s="69"/>
    </row>
    <row r="131" spans="1:10" ht="13.5" thickBot="1" x14ac:dyDescent="0.25">
      <c r="A131" s="7" t="s">
        <v>38</v>
      </c>
      <c r="I131" s="69"/>
      <c r="J131" s="69"/>
    </row>
    <row r="132" spans="1:10" ht="13.5" thickBot="1" x14ac:dyDescent="0.25">
      <c r="A132" s="53" t="s">
        <v>44</v>
      </c>
      <c r="B132" s="54" t="s">
        <v>45</v>
      </c>
      <c r="C132" s="54" t="s">
        <v>30</v>
      </c>
      <c r="D132" s="55" t="s">
        <v>194</v>
      </c>
      <c r="E132" s="55" t="s">
        <v>46</v>
      </c>
      <c r="F132" s="56" t="s">
        <v>47</v>
      </c>
      <c r="I132" s="69"/>
      <c r="J132" s="69"/>
    </row>
    <row r="133" spans="1:10" ht="13.5" thickBot="1" x14ac:dyDescent="0.25">
      <c r="A133" s="256" t="s">
        <v>226</v>
      </c>
      <c r="B133" s="12" t="s">
        <v>80</v>
      </c>
      <c r="C133" s="269">
        <f>$E$119</f>
        <v>811.25</v>
      </c>
      <c r="D133" s="71">
        <v>0.39</v>
      </c>
      <c r="E133" s="13">
        <f>C133*D133</f>
        <v>316.38749999999999</v>
      </c>
      <c r="I133" s="69"/>
      <c r="J133" s="69"/>
    </row>
    <row r="134" spans="1:10" ht="13.5" thickBot="1" x14ac:dyDescent="0.25">
      <c r="F134" s="19">
        <f>E133</f>
        <v>316.38749999999999</v>
      </c>
      <c r="I134" s="69"/>
      <c r="J134" s="69"/>
    </row>
    <row r="135" spans="1:10" ht="11.25" customHeight="1" x14ac:dyDescent="0.2">
      <c r="I135" s="69"/>
      <c r="J135" s="69"/>
    </row>
    <row r="136" spans="1:10" ht="13.5" thickBot="1" x14ac:dyDescent="0.25">
      <c r="A136" s="7" t="s">
        <v>43</v>
      </c>
      <c r="I136" s="69"/>
      <c r="J136" s="69"/>
    </row>
    <row r="137" spans="1:10" ht="13.5" thickBot="1" x14ac:dyDescent="0.25">
      <c r="A137" s="53" t="s">
        <v>44</v>
      </c>
      <c r="B137" s="54" t="s">
        <v>45</v>
      </c>
      <c r="C137" s="54" t="s">
        <v>30</v>
      </c>
      <c r="D137" s="55" t="s">
        <v>194</v>
      </c>
      <c r="E137" s="55" t="s">
        <v>46</v>
      </c>
      <c r="F137" s="56" t="s">
        <v>47</v>
      </c>
      <c r="I137" s="69"/>
      <c r="J137" s="69"/>
    </row>
    <row r="138" spans="1:10" x14ac:dyDescent="0.2">
      <c r="A138" s="259" t="s">
        <v>224</v>
      </c>
      <c r="B138" s="12" t="s">
        <v>8</v>
      </c>
      <c r="C138" s="77">
        <v>4</v>
      </c>
      <c r="D138" s="71">
        <v>685.49</v>
      </c>
      <c r="E138" s="13">
        <f>C138*D138</f>
        <v>2741.96</v>
      </c>
      <c r="I138" s="69"/>
      <c r="J138" s="69"/>
    </row>
    <row r="139" spans="1:10" x14ac:dyDescent="0.2">
      <c r="A139" s="11" t="s">
        <v>81</v>
      </c>
      <c r="B139" s="12" t="s">
        <v>8</v>
      </c>
      <c r="C139" s="77">
        <v>0</v>
      </c>
      <c r="D139" s="86"/>
      <c r="E139" s="13"/>
      <c r="I139" s="69"/>
      <c r="J139" s="69"/>
    </row>
    <row r="140" spans="1:10" x14ac:dyDescent="0.2">
      <c r="A140" s="11" t="s">
        <v>48</v>
      </c>
      <c r="B140" s="12" t="s">
        <v>8</v>
      </c>
      <c r="C140" s="13"/>
      <c r="D140" s="71">
        <v>0</v>
      </c>
      <c r="E140" s="13">
        <f>C140*D140</f>
        <v>0</v>
      </c>
      <c r="I140" s="69"/>
      <c r="J140" s="69"/>
    </row>
    <row r="141" spans="1:10" x14ac:dyDescent="0.2">
      <c r="A141" s="258" t="s">
        <v>223</v>
      </c>
      <c r="B141" s="15" t="s">
        <v>23</v>
      </c>
      <c r="C141" s="80">
        <v>20000</v>
      </c>
      <c r="D141" s="16">
        <f>E138+E140</f>
        <v>2741.96</v>
      </c>
      <c r="E141" s="270">
        <f>IFERROR(D141/C141,"-")</f>
        <v>0.137098</v>
      </c>
      <c r="I141" s="69"/>
      <c r="J141" s="69"/>
    </row>
    <row r="142" spans="1:10" ht="13.5" thickBot="1" x14ac:dyDescent="0.25">
      <c r="A142" s="14" t="s">
        <v>40</v>
      </c>
      <c r="B142" s="15" t="s">
        <v>15</v>
      </c>
      <c r="C142" s="75">
        <f>B115</f>
        <v>1000</v>
      </c>
      <c r="D142" s="270">
        <f>E141</f>
        <v>0.137098</v>
      </c>
      <c r="E142" s="16">
        <f>IFERROR(C142*D142,0)</f>
        <v>137.09799999999998</v>
      </c>
      <c r="I142" s="69"/>
      <c r="J142" s="69"/>
    </row>
    <row r="143" spans="1:10" ht="13.5" thickBot="1" x14ac:dyDescent="0.25">
      <c r="F143" s="19">
        <f>E142</f>
        <v>137.09799999999998</v>
      </c>
      <c r="I143" s="69"/>
      <c r="J143" s="69"/>
    </row>
    <row r="144" spans="1:10" ht="11.25" customHeight="1" x14ac:dyDescent="0.2">
      <c r="I144" s="69"/>
      <c r="J144" s="69"/>
    </row>
    <row r="145" spans="1:7" ht="11.25" customHeight="1" thickBot="1" x14ac:dyDescent="0.25">
      <c r="G145" s="7"/>
    </row>
    <row r="146" spans="1:7" ht="13.5" thickBot="1" x14ac:dyDescent="0.25">
      <c r="A146" s="22" t="s">
        <v>182</v>
      </c>
      <c r="B146" s="23"/>
      <c r="C146" s="23"/>
      <c r="D146" s="24"/>
      <c r="E146" s="25"/>
      <c r="F146" s="19">
        <f>+SUM(F83:F145)</f>
        <v>2141.9208399090912</v>
      </c>
      <c r="G146" s="7"/>
    </row>
    <row r="147" spans="1:7" ht="11.25" customHeight="1" x14ac:dyDescent="0.2">
      <c r="G147" s="7"/>
    </row>
    <row r="148" spans="1:7" ht="11.25" customHeight="1" thickBot="1" x14ac:dyDescent="0.25"/>
    <row r="149" spans="1:7" ht="17.25" customHeight="1" thickBot="1" x14ac:dyDescent="0.25">
      <c r="A149" s="22" t="s">
        <v>183</v>
      </c>
      <c r="B149" s="26"/>
      <c r="C149" s="26"/>
      <c r="D149" s="27"/>
      <c r="E149" s="28"/>
      <c r="F149" s="20">
        <f>+F74+F146</f>
        <v>3501.5914749090912</v>
      </c>
    </row>
    <row r="150" spans="1:7" ht="11.25" customHeight="1" x14ac:dyDescent="0.2"/>
    <row r="151" spans="1:7" x14ac:dyDescent="0.2">
      <c r="A151" s="9" t="s">
        <v>63</v>
      </c>
    </row>
    <row r="152" spans="1:7" ht="11.25" customHeight="1" thickBot="1" x14ac:dyDescent="0.25"/>
    <row r="153" spans="1:7" ht="13.5" thickBot="1" x14ac:dyDescent="0.25">
      <c r="A153" s="53" t="s">
        <v>44</v>
      </c>
      <c r="B153" s="54" t="s">
        <v>45</v>
      </c>
      <c r="C153" s="54" t="s">
        <v>30</v>
      </c>
      <c r="D153" s="55" t="s">
        <v>194</v>
      </c>
      <c r="E153" s="55" t="s">
        <v>46</v>
      </c>
      <c r="F153" s="56" t="s">
        <v>47</v>
      </c>
    </row>
    <row r="154" spans="1:7" ht="13.5" thickBot="1" x14ac:dyDescent="0.25">
      <c r="A154" s="11" t="s">
        <v>27</v>
      </c>
      <c r="B154" s="12" t="s">
        <v>2</v>
      </c>
      <c r="C154" s="118">
        <f>'4.BDI'!C18*100</f>
        <v>25.22</v>
      </c>
      <c r="D154" s="13">
        <f>+F149</f>
        <v>3501.5914749090912</v>
      </c>
      <c r="E154" s="13">
        <f>C154*D154/100</f>
        <v>883.10136997207269</v>
      </c>
    </row>
    <row r="155" spans="1:7" ht="13.5" thickBot="1" x14ac:dyDescent="0.25">
      <c r="F155" s="19">
        <f>+E154</f>
        <v>883.10136997207269</v>
      </c>
    </row>
    <row r="156" spans="1:7" ht="11.25" customHeight="1" thickBot="1" x14ac:dyDescent="0.25"/>
    <row r="157" spans="1:7" ht="13.5" thickBot="1" x14ac:dyDescent="0.25">
      <c r="A157" s="22" t="s">
        <v>198</v>
      </c>
      <c r="B157" s="26"/>
      <c r="C157" s="26"/>
      <c r="D157" s="27"/>
      <c r="E157" s="28"/>
      <c r="F157" s="20">
        <f>F155</f>
        <v>883.10136997207269</v>
      </c>
    </row>
    <row r="158" spans="1:7" x14ac:dyDescent="0.2">
      <c r="A158" s="32"/>
      <c r="B158" s="32"/>
      <c r="C158" s="32"/>
      <c r="D158" s="33"/>
      <c r="E158" s="33"/>
      <c r="F158" s="31"/>
    </row>
    <row r="159" spans="1:7" ht="11.25" customHeight="1" thickBot="1" x14ac:dyDescent="0.25"/>
    <row r="160" spans="1:7" ht="24.75" customHeight="1" thickBot="1" x14ac:dyDescent="0.25">
      <c r="A160" s="22" t="s">
        <v>184</v>
      </c>
      <c r="B160" s="26"/>
      <c r="C160" s="26"/>
      <c r="D160" s="27"/>
      <c r="E160" s="28"/>
      <c r="F160" s="20">
        <f>F149+F157</f>
        <v>4384.6928448811641</v>
      </c>
    </row>
    <row r="161" spans="1:7" ht="12.6" customHeight="1" x14ac:dyDescent="0.2">
      <c r="A161" s="49"/>
      <c r="B161" s="49"/>
      <c r="C161" s="49"/>
      <c r="D161" s="50"/>
      <c r="E161" s="50"/>
      <c r="F161" s="50"/>
    </row>
    <row r="162" spans="1:7" ht="14.25" x14ac:dyDescent="0.2">
      <c r="A162" s="6"/>
      <c r="B162" s="6"/>
      <c r="C162" s="6"/>
      <c r="D162" s="34"/>
      <c r="E162" s="34"/>
    </row>
    <row r="163" spans="1:7" ht="12.6" customHeight="1" x14ac:dyDescent="0.2">
      <c r="A163" s="32"/>
      <c r="B163" s="32"/>
      <c r="C163" s="32"/>
      <c r="D163" s="33"/>
      <c r="E163" s="33"/>
      <c r="F163" s="33"/>
    </row>
    <row r="164" spans="1:7" s="2" customFormat="1" ht="9.75" customHeight="1" x14ac:dyDescent="0.2">
      <c r="A164" s="35"/>
      <c r="B164" s="8"/>
      <c r="C164" s="8"/>
      <c r="D164" s="8"/>
      <c r="E164" s="8"/>
      <c r="F164" s="8"/>
      <c r="G164" s="4"/>
    </row>
    <row r="165" spans="1:7" s="2" customFormat="1" ht="9.75" customHeight="1" x14ac:dyDescent="0.2">
      <c r="A165" s="35"/>
      <c r="B165" s="8"/>
      <c r="C165" s="8"/>
      <c r="D165" s="8"/>
      <c r="E165" s="8"/>
      <c r="F165" s="8"/>
      <c r="G165" s="4"/>
    </row>
    <row r="166" spans="1:7" s="2" customFormat="1" ht="9.75" customHeight="1" x14ac:dyDescent="0.2">
      <c r="A166" s="35"/>
      <c r="B166" s="8"/>
      <c r="C166" s="8"/>
      <c r="D166" s="8"/>
      <c r="E166" s="8"/>
      <c r="F166" s="8"/>
      <c r="G166" s="4"/>
    </row>
    <row r="196" spans="4:7" ht="9" customHeight="1" x14ac:dyDescent="0.2">
      <c r="D196" s="7"/>
      <c r="E196" s="7"/>
      <c r="F196" s="7"/>
      <c r="G196" s="7"/>
    </row>
  </sheetData>
  <mergeCells count="6">
    <mergeCell ref="A40:D40"/>
    <mergeCell ref="A12:F12"/>
    <mergeCell ref="A14:F14"/>
    <mergeCell ref="A35:D35"/>
    <mergeCell ref="A16:F16"/>
    <mergeCell ref="A34:E34"/>
  </mergeCells>
  <phoneticPr fontId="9" type="noConversion"/>
  <hyperlinks>
    <hyperlink ref="A92" location="AbaRemun" display="3.1.2. Remuneração do Capital"/>
    <hyperlink ref="A81" location="AbaDeprec" display="3.1.1. Depreciação"/>
  </hyperlinks>
  <pageMargins left="0.51181102362204722" right="0.51181102362204722" top="0.55118110236220474" bottom="0.55118110236220474" header="0.31496062992125984" footer="0.31496062992125984"/>
  <pageSetup paperSize="9" scale="77" fitToHeight="5" orientation="portrait" r:id="rId1"/>
  <headerFooter alignWithMargins="0">
    <oddFooter>&amp;R&amp;P de &amp;N</oddFooter>
  </headerFooter>
  <rowBreaks count="3" manualBreakCount="3">
    <brk id="45" max="16383" man="1"/>
    <brk id="76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0" workbookViewId="0">
      <selection activeCell="C34" sqref="C34"/>
    </sheetView>
  </sheetViews>
  <sheetFormatPr defaultRowHeight="12.75" x14ac:dyDescent="0.2"/>
  <cols>
    <col min="1" max="1" width="13.5703125" style="1" customWidth="1"/>
    <col min="2" max="2" width="42.7109375" style="1" customWidth="1"/>
    <col min="3" max="3" width="14.5703125" style="1" customWidth="1"/>
    <col min="4" max="4" width="37.28515625" style="133" customWidth="1"/>
    <col min="5" max="5" width="9.7109375" style="1" customWidth="1"/>
    <col min="6" max="6" width="28.5703125" style="1" customWidth="1"/>
    <col min="7" max="7" width="18" style="1" customWidth="1"/>
    <col min="8" max="10" width="9.140625" style="1"/>
    <col min="11" max="11" width="11" style="1" bestFit="1" customWidth="1"/>
    <col min="12" max="16384" width="9.140625" style="1"/>
  </cols>
  <sheetData>
    <row r="1" spans="1:12" x14ac:dyDescent="0.2">
      <c r="A1" s="9" t="s">
        <v>163</v>
      </c>
      <c r="E1" s="9" t="s">
        <v>163</v>
      </c>
    </row>
    <row r="2" spans="1:12" x14ac:dyDescent="0.2">
      <c r="A2" s="117" t="s">
        <v>205</v>
      </c>
      <c r="E2" s="117" t="s">
        <v>205</v>
      </c>
    </row>
    <row r="3" spans="1:12" ht="13.5" thickBot="1" x14ac:dyDescent="0.25"/>
    <row r="4" spans="1:12" ht="18" x14ac:dyDescent="0.2">
      <c r="A4" s="286" t="s">
        <v>187</v>
      </c>
      <c r="B4" s="287"/>
      <c r="C4" s="288"/>
      <c r="D4" s="126"/>
      <c r="E4" s="286" t="s">
        <v>187</v>
      </c>
      <c r="F4" s="287"/>
      <c r="G4" s="288"/>
    </row>
    <row r="5" spans="1:12" ht="14.25" x14ac:dyDescent="0.2">
      <c r="A5" s="146" t="s">
        <v>103</v>
      </c>
      <c r="B5" s="147" t="s">
        <v>104</v>
      </c>
      <c r="C5" s="148" t="s">
        <v>105</v>
      </c>
      <c r="D5" s="149"/>
      <c r="E5" s="146" t="s">
        <v>103</v>
      </c>
      <c r="F5" s="147" t="s">
        <v>104</v>
      </c>
      <c r="G5" s="148" t="s">
        <v>105</v>
      </c>
    </row>
    <row r="6" spans="1:12" ht="14.25" x14ac:dyDescent="0.2">
      <c r="A6" s="146" t="s">
        <v>106</v>
      </c>
      <c r="B6" s="147" t="s">
        <v>31</v>
      </c>
      <c r="C6" s="150">
        <v>0.11</v>
      </c>
      <c r="D6" s="149"/>
      <c r="E6" s="146" t="s">
        <v>106</v>
      </c>
      <c r="F6" s="147" t="s">
        <v>31</v>
      </c>
      <c r="G6" s="150">
        <v>0.2</v>
      </c>
      <c r="H6" s="133"/>
      <c r="I6" s="133"/>
      <c r="J6" s="133"/>
      <c r="K6" s="133"/>
      <c r="L6" s="133"/>
    </row>
    <row r="7" spans="1:12" ht="14.25" x14ac:dyDescent="0.2">
      <c r="A7" s="146" t="s">
        <v>107</v>
      </c>
      <c r="B7" s="147" t="s">
        <v>108</v>
      </c>
      <c r="C7" s="150"/>
      <c r="D7" s="149"/>
      <c r="E7" s="146" t="s">
        <v>107</v>
      </c>
      <c r="F7" s="147" t="s">
        <v>108</v>
      </c>
      <c r="G7" s="150">
        <v>1.4999999999999999E-2</v>
      </c>
      <c r="H7" s="133"/>
      <c r="I7" s="133"/>
      <c r="J7" s="133"/>
      <c r="K7" s="133"/>
      <c r="L7" s="133"/>
    </row>
    <row r="8" spans="1:12" ht="14.25" x14ac:dyDescent="0.2">
      <c r="A8" s="146" t="s">
        <v>109</v>
      </c>
      <c r="B8" s="147" t="s">
        <v>110</v>
      </c>
      <c r="C8" s="150"/>
      <c r="D8" s="149"/>
      <c r="E8" s="146" t="s">
        <v>109</v>
      </c>
      <c r="F8" s="147" t="s">
        <v>110</v>
      </c>
      <c r="G8" s="150">
        <v>0.01</v>
      </c>
      <c r="H8" s="133"/>
      <c r="I8" s="133"/>
      <c r="J8" s="133"/>
      <c r="K8" s="133"/>
      <c r="L8" s="133"/>
    </row>
    <row r="9" spans="1:12" ht="14.25" x14ac:dyDescent="0.2">
      <c r="A9" s="146" t="s">
        <v>111</v>
      </c>
      <c r="B9" s="147" t="s">
        <v>112</v>
      </c>
      <c r="C9" s="150"/>
      <c r="D9" s="149"/>
      <c r="E9" s="146" t="s">
        <v>111</v>
      </c>
      <c r="F9" s="147" t="s">
        <v>112</v>
      </c>
      <c r="G9" s="150">
        <v>2E-3</v>
      </c>
      <c r="H9" s="133"/>
      <c r="I9" s="133"/>
      <c r="J9" s="133"/>
      <c r="K9" s="133"/>
      <c r="L9" s="133"/>
    </row>
    <row r="10" spans="1:12" ht="14.25" x14ac:dyDescent="0.2">
      <c r="A10" s="146" t="s">
        <v>113</v>
      </c>
      <c r="B10" s="147" t="s">
        <v>114</v>
      </c>
      <c r="C10" s="150"/>
      <c r="D10" s="149"/>
      <c r="E10" s="146" t="s">
        <v>113</v>
      </c>
      <c r="F10" s="147" t="s">
        <v>114</v>
      </c>
      <c r="G10" s="150">
        <v>6.0000000000000001E-3</v>
      </c>
      <c r="H10" s="133"/>
      <c r="I10" s="133"/>
      <c r="J10" s="133"/>
      <c r="K10" s="133"/>
      <c r="L10" s="133"/>
    </row>
    <row r="11" spans="1:12" ht="14.25" x14ac:dyDescent="0.2">
      <c r="A11" s="146" t="s">
        <v>115</v>
      </c>
      <c r="B11" s="147" t="s">
        <v>116</v>
      </c>
      <c r="C11" s="150"/>
      <c r="D11" s="149"/>
      <c r="E11" s="146" t="s">
        <v>115</v>
      </c>
      <c r="F11" s="147" t="s">
        <v>116</v>
      </c>
      <c r="G11" s="150">
        <v>2.5000000000000001E-2</v>
      </c>
      <c r="H11" s="133"/>
      <c r="I11" s="133"/>
      <c r="J11" s="133"/>
      <c r="K11" s="133"/>
      <c r="L11" s="133"/>
    </row>
    <row r="12" spans="1:12" ht="14.25" x14ac:dyDescent="0.2">
      <c r="A12" s="146" t="s">
        <v>117</v>
      </c>
      <c r="B12" s="147" t="s">
        <v>118</v>
      </c>
      <c r="C12" s="150"/>
      <c r="D12" s="149"/>
      <c r="E12" s="146" t="s">
        <v>117</v>
      </c>
      <c r="F12" s="147" t="s">
        <v>118</v>
      </c>
      <c r="G12" s="150">
        <v>0.03</v>
      </c>
      <c r="H12" s="133"/>
      <c r="I12" s="133"/>
      <c r="J12" s="133"/>
      <c r="K12" s="133"/>
      <c r="L12" s="133"/>
    </row>
    <row r="13" spans="1:12" ht="14.25" x14ac:dyDescent="0.2">
      <c r="A13" s="146" t="s">
        <v>119</v>
      </c>
      <c r="B13" s="147" t="s">
        <v>32</v>
      </c>
      <c r="C13" s="150">
        <v>0.08</v>
      </c>
      <c r="D13" s="151"/>
      <c r="E13" s="146" t="s">
        <v>119</v>
      </c>
      <c r="F13" s="147" t="s">
        <v>32</v>
      </c>
      <c r="G13" s="150">
        <v>0.08</v>
      </c>
      <c r="H13" s="133"/>
      <c r="I13" s="133"/>
      <c r="J13" s="133"/>
      <c r="K13" s="133"/>
      <c r="L13" s="133"/>
    </row>
    <row r="14" spans="1:12" ht="15" x14ac:dyDescent="0.2">
      <c r="A14" s="146" t="s">
        <v>120</v>
      </c>
      <c r="B14" s="152" t="s">
        <v>121</v>
      </c>
      <c r="C14" s="153">
        <f>SUM(C6:C13)</f>
        <v>0.19</v>
      </c>
      <c r="D14" s="151"/>
      <c r="E14" s="146" t="s">
        <v>120</v>
      </c>
      <c r="F14" s="152" t="s">
        <v>121</v>
      </c>
      <c r="G14" s="153">
        <f>SUM(G6:G13)</f>
        <v>0.36800000000000005</v>
      </c>
      <c r="H14" s="133"/>
      <c r="I14" s="133"/>
      <c r="J14" s="133"/>
      <c r="K14" s="133"/>
      <c r="L14" s="133"/>
    </row>
    <row r="15" spans="1:12" ht="15" x14ac:dyDescent="0.2">
      <c r="A15" s="154"/>
      <c r="B15" s="155"/>
      <c r="C15" s="156"/>
      <c r="D15" s="151"/>
      <c r="E15" s="154"/>
      <c r="F15" s="155"/>
      <c r="G15" s="156"/>
      <c r="H15" s="133"/>
      <c r="I15" s="133"/>
      <c r="J15" s="133"/>
      <c r="K15" s="133"/>
      <c r="L15" s="133"/>
    </row>
    <row r="16" spans="1:12" ht="14.25" x14ac:dyDescent="0.2">
      <c r="A16" s="146" t="s">
        <v>122</v>
      </c>
      <c r="B16" s="157" t="s">
        <v>123</v>
      </c>
      <c r="C16" s="150">
        <v>0.1108</v>
      </c>
      <c r="D16" s="151"/>
      <c r="E16" s="146" t="s">
        <v>122</v>
      </c>
      <c r="F16" s="157" t="s">
        <v>123</v>
      </c>
      <c r="G16" s="150">
        <f>ROUND(IF('[1]3.CAGED'!G39&gt;24,(1-12/'[1]3.CAGED'!G39)*0.1111,0.1111-G25),4)</f>
        <v>0.1111</v>
      </c>
      <c r="H16" s="133"/>
      <c r="I16" s="133"/>
      <c r="J16" s="133"/>
      <c r="K16" s="133"/>
      <c r="L16" s="133"/>
    </row>
    <row r="17" spans="1:12" ht="14.25" x14ac:dyDescent="0.2">
      <c r="A17" s="146" t="s">
        <v>124</v>
      </c>
      <c r="B17" s="157" t="s">
        <v>125</v>
      </c>
      <c r="C17" s="150">
        <v>8.3299999999999999E-2</v>
      </c>
      <c r="D17" s="151"/>
      <c r="E17" s="146" t="s">
        <v>124</v>
      </c>
      <c r="F17" s="157" t="s">
        <v>125</v>
      </c>
      <c r="G17" s="150">
        <v>8.3299999999999999E-2</v>
      </c>
      <c r="H17" s="133"/>
      <c r="I17" s="133"/>
      <c r="J17" s="133"/>
      <c r="K17" s="133"/>
      <c r="L17" s="133"/>
    </row>
    <row r="18" spans="1:12" ht="14.25" x14ac:dyDescent="0.2">
      <c r="A18" s="146" t="s">
        <v>181</v>
      </c>
      <c r="B18" s="157" t="s">
        <v>127</v>
      </c>
      <c r="C18" s="150"/>
      <c r="D18" s="151"/>
      <c r="E18" s="146" t="s">
        <v>181</v>
      </c>
      <c r="F18" s="157" t="s">
        <v>127</v>
      </c>
      <c r="G18" s="150">
        <v>5.9999999999999995E-4</v>
      </c>
      <c r="H18" s="133"/>
      <c r="I18" s="133"/>
      <c r="J18" s="133"/>
      <c r="K18" s="133"/>
      <c r="L18" s="133"/>
    </row>
    <row r="19" spans="1:12" ht="14.25" x14ac:dyDescent="0.2">
      <c r="A19" s="146" t="s">
        <v>126</v>
      </c>
      <c r="B19" s="157" t="s">
        <v>129</v>
      </c>
      <c r="C19" s="150"/>
      <c r="D19" s="151"/>
      <c r="E19" s="146" t="s">
        <v>126</v>
      </c>
      <c r="F19" s="157" t="s">
        <v>129</v>
      </c>
      <c r="G19" s="150">
        <v>8.2000000000000007E-3</v>
      </c>
      <c r="H19" s="133"/>
      <c r="I19" s="133"/>
      <c r="J19" s="133"/>
      <c r="K19" s="133"/>
      <c r="L19" s="133"/>
    </row>
    <row r="20" spans="1:12" ht="14.25" x14ac:dyDescent="0.2">
      <c r="A20" s="146" t="s">
        <v>128</v>
      </c>
      <c r="B20" s="157" t="s">
        <v>131</v>
      </c>
      <c r="C20" s="150"/>
      <c r="D20" s="151"/>
      <c r="E20" s="146" t="s">
        <v>128</v>
      </c>
      <c r="F20" s="157" t="s">
        <v>131</v>
      </c>
      <c r="G20" s="150">
        <v>3.0999999999999999E-3</v>
      </c>
      <c r="H20" s="133"/>
      <c r="I20" s="133"/>
      <c r="J20" s="133"/>
      <c r="K20" s="133"/>
      <c r="L20" s="133"/>
    </row>
    <row r="21" spans="1:12" ht="14.25" x14ac:dyDescent="0.2">
      <c r="A21" s="146" t="s">
        <v>130</v>
      </c>
      <c r="B21" s="157" t="s">
        <v>132</v>
      </c>
      <c r="C21" s="150"/>
      <c r="D21" s="151"/>
      <c r="E21" s="146" t="s">
        <v>130</v>
      </c>
      <c r="F21" s="157" t="s">
        <v>132</v>
      </c>
      <c r="G21" s="150">
        <v>1.66E-2</v>
      </c>
      <c r="H21" s="133"/>
      <c r="I21" s="133"/>
      <c r="J21" s="133"/>
      <c r="K21" s="133"/>
      <c r="L21" s="133"/>
    </row>
    <row r="22" spans="1:12" ht="15" x14ac:dyDescent="0.2">
      <c r="A22" s="146" t="s">
        <v>133</v>
      </c>
      <c r="B22" s="152" t="s">
        <v>134</v>
      </c>
      <c r="C22" s="153">
        <f>SUM(C16:C21)</f>
        <v>0.19409999999999999</v>
      </c>
      <c r="D22" s="158"/>
      <c r="E22" s="146" t="s">
        <v>133</v>
      </c>
      <c r="F22" s="152" t="s">
        <v>134</v>
      </c>
      <c r="G22" s="153">
        <f>SUM(G16:G21)</f>
        <v>0.22290000000000001</v>
      </c>
      <c r="H22" s="133"/>
      <c r="I22" s="133"/>
      <c r="J22" s="133"/>
      <c r="K22" s="133"/>
      <c r="L22" s="133"/>
    </row>
    <row r="23" spans="1:12" ht="15" x14ac:dyDescent="0.2">
      <c r="A23" s="154"/>
      <c r="B23" s="155"/>
      <c r="C23" s="156"/>
      <c r="D23" s="158"/>
      <c r="E23" s="154"/>
      <c r="F23" s="155"/>
      <c r="G23" s="156"/>
      <c r="H23" s="133"/>
      <c r="I23" s="133"/>
      <c r="J23" s="133"/>
      <c r="K23" s="133"/>
      <c r="L23" s="133"/>
    </row>
    <row r="24" spans="1:12" ht="14.25" x14ac:dyDescent="0.2">
      <c r="A24" s="146" t="s">
        <v>135</v>
      </c>
      <c r="B24" s="147" t="s">
        <v>136</v>
      </c>
      <c r="C24" s="150"/>
      <c r="D24" s="151"/>
      <c r="E24" s="146" t="s">
        <v>135</v>
      </c>
      <c r="F24" s="147" t="s">
        <v>136</v>
      </c>
      <c r="G24" s="150">
        <f>C24</f>
        <v>0</v>
      </c>
      <c r="H24" s="133"/>
      <c r="I24" s="133"/>
      <c r="J24" s="133"/>
      <c r="K24" s="133"/>
      <c r="L24" s="133"/>
    </row>
    <row r="25" spans="1:12" ht="14.25" x14ac:dyDescent="0.2">
      <c r="A25" s="146" t="s">
        <v>180</v>
      </c>
      <c r="B25" s="147" t="s">
        <v>138</v>
      </c>
      <c r="C25" s="150"/>
      <c r="D25" s="151"/>
      <c r="E25" s="146" t="s">
        <v>180</v>
      </c>
      <c r="F25" s="147" t="s">
        <v>138</v>
      </c>
      <c r="G25" s="150">
        <f t="shared" ref="G25:G28" si="0">C25</f>
        <v>0</v>
      </c>
      <c r="H25" s="159"/>
      <c r="I25" s="133"/>
      <c r="J25" s="133"/>
      <c r="K25" s="133"/>
      <c r="L25" s="133"/>
    </row>
    <row r="26" spans="1:12" ht="14.25" x14ac:dyDescent="0.2">
      <c r="A26" s="146" t="s">
        <v>137</v>
      </c>
      <c r="B26" s="147" t="s">
        <v>140</v>
      </c>
      <c r="C26" s="150"/>
      <c r="D26" s="151"/>
      <c r="E26" s="146" t="s">
        <v>137</v>
      </c>
      <c r="F26" s="147" t="s">
        <v>140</v>
      </c>
      <c r="G26" s="150">
        <f t="shared" si="0"/>
        <v>0</v>
      </c>
      <c r="H26" s="133"/>
      <c r="I26" s="133"/>
      <c r="J26" s="133"/>
      <c r="K26" s="133"/>
      <c r="L26" s="133"/>
    </row>
    <row r="27" spans="1:12" ht="14.25" x14ac:dyDescent="0.2">
      <c r="A27" s="146" t="s">
        <v>139</v>
      </c>
      <c r="B27" s="147" t="s">
        <v>142</v>
      </c>
      <c r="C27" s="150"/>
      <c r="D27" s="151"/>
      <c r="E27" s="146" t="s">
        <v>139</v>
      </c>
      <c r="F27" s="147" t="s">
        <v>142</v>
      </c>
      <c r="G27" s="150">
        <f t="shared" si="0"/>
        <v>0</v>
      </c>
      <c r="H27" s="133"/>
      <c r="I27" s="133"/>
      <c r="J27" s="133"/>
      <c r="K27" s="133"/>
      <c r="L27" s="133"/>
    </row>
    <row r="28" spans="1:12" ht="14.25" x14ac:dyDescent="0.2">
      <c r="A28" s="146" t="s">
        <v>141</v>
      </c>
      <c r="B28" s="147" t="s">
        <v>143</v>
      </c>
      <c r="C28" s="150"/>
      <c r="D28" s="151"/>
      <c r="E28" s="146" t="s">
        <v>141</v>
      </c>
      <c r="F28" s="147" t="s">
        <v>143</v>
      </c>
      <c r="G28" s="150">
        <f t="shared" si="0"/>
        <v>0</v>
      </c>
      <c r="H28" s="133"/>
      <c r="I28" s="133"/>
      <c r="J28" s="133"/>
      <c r="K28" s="133"/>
      <c r="L28" s="133"/>
    </row>
    <row r="29" spans="1:12" ht="15" x14ac:dyDescent="0.2">
      <c r="A29" s="146" t="s">
        <v>144</v>
      </c>
      <c r="B29" s="152" t="s">
        <v>145</v>
      </c>
      <c r="C29" s="153">
        <f>SUM(C24:C28)</f>
        <v>0</v>
      </c>
      <c r="D29" s="158"/>
      <c r="E29" s="146" t="s">
        <v>144</v>
      </c>
      <c r="F29" s="152" t="s">
        <v>145</v>
      </c>
      <c r="G29" s="153">
        <f>SUM(G24:G28)</f>
        <v>0</v>
      </c>
      <c r="H29" s="133"/>
      <c r="I29" s="133"/>
      <c r="J29" s="133"/>
      <c r="K29" s="133"/>
      <c r="L29" s="133"/>
    </row>
    <row r="30" spans="1:12" ht="15" x14ac:dyDescent="0.2">
      <c r="A30" s="154"/>
      <c r="B30" s="155"/>
      <c r="C30" s="156"/>
      <c r="D30" s="158"/>
      <c r="E30" s="154"/>
      <c r="F30" s="155"/>
      <c r="G30" s="156"/>
      <c r="H30" s="133"/>
      <c r="I30" s="133"/>
      <c r="J30" s="133"/>
      <c r="K30" s="133"/>
      <c r="L30" s="133"/>
    </row>
    <row r="31" spans="1:12" ht="14.25" x14ac:dyDescent="0.2">
      <c r="A31" s="146" t="s">
        <v>146</v>
      </c>
      <c r="B31" s="147" t="s">
        <v>147</v>
      </c>
      <c r="C31" s="150">
        <v>0</v>
      </c>
      <c r="D31" s="151"/>
      <c r="E31" s="146" t="s">
        <v>146</v>
      </c>
      <c r="F31" s="147" t="s">
        <v>147</v>
      </c>
      <c r="G31" s="150">
        <f>ROUND(G14*G22,4)</f>
        <v>8.2000000000000003E-2</v>
      </c>
      <c r="H31" s="133"/>
      <c r="I31" s="133"/>
      <c r="J31" s="133"/>
      <c r="K31" s="133"/>
      <c r="L31" s="133"/>
    </row>
    <row r="32" spans="1:12" ht="42.75" x14ac:dyDescent="0.2">
      <c r="A32" s="146" t="s">
        <v>148</v>
      </c>
      <c r="B32" s="160" t="s">
        <v>149</v>
      </c>
      <c r="C32" s="150">
        <f>ROUND((C24*C14),4)</f>
        <v>0</v>
      </c>
      <c r="D32" s="151"/>
      <c r="E32" s="146" t="s">
        <v>148</v>
      </c>
      <c r="F32" s="160" t="s">
        <v>149</v>
      </c>
      <c r="G32" s="150">
        <f>ROUND((G24*G14),4)</f>
        <v>0</v>
      </c>
      <c r="H32" s="133"/>
      <c r="I32" s="133"/>
      <c r="J32" s="133"/>
      <c r="K32" s="133"/>
      <c r="L32" s="133"/>
    </row>
    <row r="33" spans="1:12" ht="15" x14ac:dyDescent="0.2">
      <c r="A33" s="146" t="s">
        <v>150</v>
      </c>
      <c r="B33" s="152" t="s">
        <v>151</v>
      </c>
      <c r="C33" s="153">
        <f>SUM(C31:C32)</f>
        <v>0</v>
      </c>
      <c r="D33" s="161"/>
      <c r="E33" s="146" t="s">
        <v>150</v>
      </c>
      <c r="F33" s="152" t="s">
        <v>151</v>
      </c>
      <c r="G33" s="153">
        <f>SUM(G31:G32)</f>
        <v>8.2000000000000003E-2</v>
      </c>
      <c r="H33" s="133"/>
      <c r="I33" s="133"/>
      <c r="J33" s="133"/>
      <c r="K33" s="133"/>
      <c r="L33" s="133"/>
    </row>
    <row r="34" spans="1:12" ht="15.75" thickBot="1" x14ac:dyDescent="0.25">
      <c r="A34" s="162"/>
      <c r="B34" s="163" t="s">
        <v>152</v>
      </c>
      <c r="C34" s="164">
        <f>C33+C29+C22+C14</f>
        <v>0.3841</v>
      </c>
      <c r="D34" s="161"/>
      <c r="E34" s="162"/>
      <c r="F34" s="163" t="s">
        <v>152</v>
      </c>
      <c r="G34" s="164">
        <f>G33+G29+G22+G14</f>
        <v>0.67290000000000005</v>
      </c>
      <c r="H34" s="133"/>
      <c r="I34" s="133"/>
      <c r="J34" s="133"/>
      <c r="K34" s="133"/>
      <c r="L34" s="133"/>
    </row>
    <row r="35" spans="1:12" ht="15" x14ac:dyDescent="0.2">
      <c r="A35" s="151"/>
      <c r="B35" s="165"/>
      <c r="C35" s="166"/>
      <c r="D35" s="167"/>
      <c r="F35" s="133"/>
      <c r="G35" s="133"/>
      <c r="H35" s="133"/>
      <c r="I35" s="133"/>
      <c r="J35" s="133"/>
      <c r="K35" s="133"/>
      <c r="L35" s="133"/>
    </row>
    <row r="36" spans="1:12" ht="14.25" x14ac:dyDescent="0.2">
      <c r="A36" s="151"/>
      <c r="B36" s="151"/>
      <c r="C36" s="168"/>
      <c r="D36" s="169"/>
      <c r="F36" s="133"/>
      <c r="G36" s="133"/>
      <c r="H36" s="133"/>
      <c r="I36" s="133"/>
      <c r="J36" s="133"/>
      <c r="K36" s="133"/>
      <c r="L36" s="133"/>
    </row>
    <row r="37" spans="1:12" ht="14.25" x14ac:dyDescent="0.2">
      <c r="A37" s="149"/>
      <c r="B37" s="149"/>
      <c r="C37" s="170"/>
      <c r="D37" s="149"/>
      <c r="F37" s="133"/>
      <c r="G37" s="133"/>
      <c r="H37" s="133"/>
      <c r="I37" s="133"/>
      <c r="J37" s="133"/>
      <c r="K37" s="133"/>
      <c r="L37" s="133"/>
    </row>
    <row r="38" spans="1:12" ht="14.25" x14ac:dyDescent="0.2">
      <c r="A38" s="149"/>
      <c r="B38" s="149"/>
      <c r="C38" s="170"/>
      <c r="D38" s="149"/>
      <c r="F38" s="133"/>
      <c r="G38" s="133"/>
      <c r="H38" s="133"/>
      <c r="I38" s="133"/>
      <c r="J38" s="133"/>
      <c r="K38" s="133"/>
      <c r="L38" s="133"/>
    </row>
    <row r="39" spans="1:12" ht="14.25" x14ac:dyDescent="0.2">
      <c r="A39" s="149"/>
      <c r="B39" s="149"/>
      <c r="C39" s="170"/>
      <c r="D39" s="149"/>
      <c r="F39" s="133"/>
      <c r="G39" s="133"/>
      <c r="H39" s="133"/>
      <c r="I39" s="133"/>
      <c r="J39" s="133"/>
      <c r="K39" s="133"/>
      <c r="L39" s="133"/>
    </row>
    <row r="40" spans="1:12" ht="15" x14ac:dyDescent="0.2">
      <c r="A40" s="149"/>
      <c r="B40" s="171"/>
      <c r="C40" s="172"/>
      <c r="D40" s="149"/>
      <c r="F40" s="133"/>
      <c r="G40" s="133"/>
      <c r="H40" s="133"/>
      <c r="I40" s="133"/>
      <c r="J40" s="133"/>
      <c r="K40" s="133"/>
      <c r="L40" s="133"/>
    </row>
    <row r="41" spans="1:12" ht="15" x14ac:dyDescent="0.2">
      <c r="A41" s="161"/>
      <c r="B41" s="171"/>
      <c r="C41" s="172"/>
      <c r="D41" s="161"/>
      <c r="E41" s="133"/>
      <c r="F41" s="133"/>
      <c r="G41" s="133"/>
      <c r="H41" s="133"/>
      <c r="I41" s="133"/>
      <c r="J41" s="133"/>
      <c r="K41" s="133"/>
      <c r="L41" s="133"/>
    </row>
    <row r="42" spans="1:12" ht="16.5" x14ac:dyDescent="0.2">
      <c r="A42" s="173"/>
      <c r="B42" s="133"/>
      <c r="C42" s="133"/>
      <c r="E42" s="133"/>
      <c r="F42" s="133"/>
      <c r="G42" s="133"/>
      <c r="H42" s="133"/>
      <c r="I42" s="133"/>
      <c r="J42" s="133"/>
      <c r="K42" s="133"/>
      <c r="L42" s="133"/>
    </row>
    <row r="43" spans="1:12" x14ac:dyDescent="0.2">
      <c r="A43" s="174"/>
      <c r="B43" s="175"/>
      <c r="C43" s="175"/>
      <c r="E43" s="133"/>
      <c r="F43" s="133"/>
      <c r="G43" s="133"/>
      <c r="H43" s="133"/>
      <c r="I43" s="133"/>
      <c r="J43" s="133"/>
      <c r="K43" s="133"/>
      <c r="L43" s="133"/>
    </row>
    <row r="44" spans="1:12" ht="14.25" x14ac:dyDescent="0.2">
      <c r="A44" s="149"/>
      <c r="B44" s="176"/>
      <c r="C44" s="175"/>
      <c r="E44" s="133"/>
      <c r="F44" s="133"/>
      <c r="G44" s="133"/>
      <c r="H44" s="133"/>
      <c r="I44" s="133"/>
      <c r="J44" s="133"/>
      <c r="K44" s="133"/>
      <c r="L44" s="133"/>
    </row>
    <row r="45" spans="1:12" ht="14.25" x14ac:dyDescent="0.2">
      <c r="A45" s="149"/>
      <c r="B45" s="176"/>
      <c r="C45" s="149"/>
      <c r="E45" s="133"/>
      <c r="F45" s="133"/>
      <c r="G45" s="133"/>
      <c r="H45" s="133"/>
      <c r="I45" s="133"/>
      <c r="J45" s="133"/>
      <c r="K45" s="133"/>
      <c r="L45" s="133"/>
    </row>
    <row r="46" spans="1:12" ht="14.25" x14ac:dyDescent="0.2">
      <c r="A46" s="149"/>
      <c r="B46" s="170"/>
      <c r="C46" s="175"/>
      <c r="E46" s="133"/>
      <c r="F46" s="133"/>
      <c r="G46" s="133"/>
      <c r="H46" s="133"/>
      <c r="I46" s="133"/>
      <c r="J46" s="133"/>
      <c r="K46" s="133"/>
      <c r="L46" s="133"/>
    </row>
    <row r="47" spans="1:12" ht="14.25" x14ac:dyDescent="0.2">
      <c r="A47" s="149"/>
      <c r="B47" s="176"/>
      <c r="C47" s="149"/>
      <c r="E47" s="133"/>
      <c r="F47" s="133"/>
      <c r="G47" s="133"/>
      <c r="H47" s="133"/>
      <c r="I47" s="133"/>
      <c r="J47" s="133"/>
      <c r="K47" s="133"/>
      <c r="L47" s="133"/>
    </row>
    <row r="48" spans="1:12" ht="14.25" x14ac:dyDescent="0.2">
      <c r="A48" s="149"/>
      <c r="B48" s="170"/>
      <c r="C48" s="175"/>
      <c r="E48" s="133"/>
      <c r="F48" s="133"/>
      <c r="G48" s="133"/>
      <c r="H48" s="133"/>
      <c r="I48" s="133"/>
      <c r="J48" s="133"/>
      <c r="K48" s="133"/>
      <c r="L48" s="133"/>
    </row>
    <row r="49" spans="1:12" ht="14.25" x14ac:dyDescent="0.2">
      <c r="A49" s="149"/>
      <c r="B49" s="176"/>
      <c r="C49" s="149"/>
      <c r="E49" s="133"/>
      <c r="F49" s="133"/>
      <c r="G49" s="133"/>
      <c r="H49" s="133"/>
      <c r="I49" s="133"/>
      <c r="J49" s="133"/>
      <c r="K49" s="133"/>
      <c r="L49" s="133"/>
    </row>
    <row r="50" spans="1:12" ht="14.25" x14ac:dyDescent="0.2">
      <c r="A50" s="149"/>
      <c r="B50" s="170"/>
      <c r="C50" s="175"/>
      <c r="E50" s="133"/>
      <c r="F50" s="133"/>
      <c r="G50" s="133"/>
      <c r="H50" s="133"/>
      <c r="I50" s="133"/>
      <c r="J50" s="133"/>
      <c r="K50" s="133"/>
      <c r="L50" s="133"/>
    </row>
    <row r="51" spans="1:12" ht="14.25" x14ac:dyDescent="0.2">
      <c r="A51" s="149"/>
      <c r="B51" s="176"/>
      <c r="C51" s="149"/>
      <c r="E51" s="133"/>
      <c r="F51" s="133"/>
      <c r="G51" s="133"/>
      <c r="H51" s="133"/>
      <c r="I51" s="133"/>
      <c r="J51" s="133"/>
      <c r="K51" s="133"/>
      <c r="L51" s="133"/>
    </row>
    <row r="52" spans="1:12" ht="14.25" x14ac:dyDescent="0.2">
      <c r="A52" s="149"/>
      <c r="B52" s="170"/>
      <c r="C52" s="175"/>
      <c r="E52" s="133"/>
      <c r="F52" s="133"/>
      <c r="G52" s="133"/>
      <c r="H52" s="133"/>
      <c r="I52" s="133"/>
      <c r="J52" s="133"/>
      <c r="K52" s="133"/>
      <c r="L52" s="133"/>
    </row>
    <row r="53" spans="1:12" ht="16.5" x14ac:dyDescent="0.2">
      <c r="A53" s="173"/>
      <c r="B53" s="133"/>
      <c r="C53" s="133"/>
      <c r="E53" s="133"/>
      <c r="F53" s="133"/>
      <c r="G53" s="133"/>
      <c r="H53" s="133"/>
      <c r="I53" s="133"/>
      <c r="J53" s="133"/>
      <c r="K53" s="133"/>
      <c r="L53" s="133"/>
    </row>
    <row r="54" spans="1:12" x14ac:dyDescent="0.2">
      <c r="A54" s="133"/>
      <c r="B54" s="133"/>
      <c r="C54" s="133"/>
      <c r="E54" s="133"/>
      <c r="F54" s="133"/>
      <c r="G54" s="133"/>
      <c r="H54" s="133"/>
      <c r="I54" s="133"/>
      <c r="J54" s="133"/>
      <c r="K54" s="133"/>
      <c r="L54" s="133"/>
    </row>
    <row r="55" spans="1:12" x14ac:dyDescent="0.2">
      <c r="A55" s="133"/>
      <c r="B55" s="133"/>
      <c r="C55" s="133"/>
      <c r="E55" s="133"/>
      <c r="F55" s="133"/>
      <c r="G55" s="133"/>
      <c r="H55" s="133"/>
      <c r="I55" s="133"/>
      <c r="J55" s="133"/>
      <c r="K55" s="133"/>
      <c r="L55" s="133"/>
    </row>
    <row r="56" spans="1:12" x14ac:dyDescent="0.2">
      <c r="A56" s="177"/>
      <c r="B56" s="133"/>
      <c r="C56" s="133"/>
      <c r="E56" s="133"/>
      <c r="F56" s="133"/>
      <c r="G56" s="133"/>
      <c r="H56" s="133"/>
      <c r="I56" s="133"/>
      <c r="J56" s="133"/>
      <c r="K56" s="133"/>
      <c r="L56" s="133"/>
    </row>
    <row r="57" spans="1:12" x14ac:dyDescent="0.2">
      <c r="A57" s="133"/>
      <c r="B57" s="133"/>
      <c r="C57" s="133"/>
      <c r="E57" s="133"/>
    </row>
    <row r="58" spans="1:12" x14ac:dyDescent="0.2">
      <c r="A58" s="133"/>
      <c r="B58" s="133"/>
      <c r="C58" s="133"/>
      <c r="E58" s="133"/>
    </row>
    <row r="59" spans="1:12" x14ac:dyDescent="0.2">
      <c r="A59" s="133"/>
      <c r="B59" s="133"/>
      <c r="C59" s="133"/>
      <c r="E59" s="133"/>
    </row>
    <row r="60" spans="1:12" x14ac:dyDescent="0.2">
      <c r="A60" s="133"/>
      <c r="B60" s="133"/>
      <c r="C60" s="133"/>
      <c r="E60" s="133"/>
    </row>
    <row r="61" spans="1:12" x14ac:dyDescent="0.2">
      <c r="A61" s="133"/>
      <c r="B61" s="133"/>
      <c r="C61" s="133"/>
      <c r="E61" s="133"/>
    </row>
    <row r="62" spans="1:12" x14ac:dyDescent="0.2">
      <c r="A62" s="133"/>
      <c r="B62" s="133"/>
      <c r="C62" s="133"/>
      <c r="E62" s="133"/>
    </row>
    <row r="63" spans="1:12" x14ac:dyDescent="0.2">
      <c r="A63" s="133"/>
      <c r="B63" s="133"/>
      <c r="C63" s="133"/>
      <c r="E63" s="133"/>
    </row>
    <row r="64" spans="1:12" x14ac:dyDescent="0.2">
      <c r="A64" s="133"/>
      <c r="B64" s="133"/>
      <c r="C64" s="133"/>
      <c r="E64" s="133"/>
    </row>
    <row r="65" spans="1:5" x14ac:dyDescent="0.2">
      <c r="A65" s="133"/>
      <c r="B65" s="133"/>
      <c r="C65" s="133"/>
      <c r="E65" s="133"/>
    </row>
  </sheetData>
  <mergeCells count="2">
    <mergeCell ref="A4:C4"/>
    <mergeCell ref="E4:G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7" workbookViewId="0">
      <selection activeCell="A4" sqref="A4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88" t="s">
        <v>199</v>
      </c>
    </row>
    <row r="3" spans="1:3" x14ac:dyDescent="0.2">
      <c r="A3" s="1" t="s">
        <v>170</v>
      </c>
    </row>
    <row r="4" spans="1:3" x14ac:dyDescent="0.2">
      <c r="A4" s="248" t="s">
        <v>166</v>
      </c>
    </row>
    <row r="5" spans="1:3" ht="25.5" customHeight="1" x14ac:dyDescent="0.2">
      <c r="A5" s="292" t="s">
        <v>212</v>
      </c>
      <c r="B5" s="291"/>
      <c r="C5" s="291"/>
    </row>
    <row r="6" spans="1:3" x14ac:dyDescent="0.2">
      <c r="A6" s="1" t="s">
        <v>167</v>
      </c>
    </row>
    <row r="7" spans="1:3" ht="26.25" customHeight="1" x14ac:dyDescent="0.2">
      <c r="A7" s="291" t="s">
        <v>168</v>
      </c>
      <c r="B7" s="291"/>
      <c r="C7" s="291"/>
    </row>
    <row r="8" spans="1:3" x14ac:dyDescent="0.2">
      <c r="A8" s="1" t="s">
        <v>169</v>
      </c>
    </row>
    <row r="9" spans="1:3" x14ac:dyDescent="0.2">
      <c r="A9" s="1" t="s">
        <v>200</v>
      </c>
    </row>
    <row r="10" spans="1:3" ht="13.5" thickBot="1" x14ac:dyDescent="0.25"/>
    <row r="11" spans="1:3" ht="18" x14ac:dyDescent="0.25">
      <c r="B11" s="289" t="s">
        <v>185</v>
      </c>
      <c r="C11" s="290"/>
    </row>
    <row r="12" spans="1:3" ht="15" x14ac:dyDescent="0.25">
      <c r="A12" s="133"/>
      <c r="B12" s="132" t="s">
        <v>165</v>
      </c>
      <c r="C12" s="178"/>
    </row>
    <row r="13" spans="1:3" ht="15" x14ac:dyDescent="0.25">
      <c r="A13" s="133"/>
      <c r="B13" s="134" t="s">
        <v>84</v>
      </c>
      <c r="C13" s="135">
        <v>2486</v>
      </c>
    </row>
    <row r="14" spans="1:3" ht="15" x14ac:dyDescent="0.25">
      <c r="A14" s="133"/>
      <c r="B14" s="136" t="s">
        <v>85</v>
      </c>
      <c r="C14" s="135">
        <v>3303</v>
      </c>
    </row>
    <row r="15" spans="1:3" ht="14.25" x14ac:dyDescent="0.2">
      <c r="A15" s="133"/>
      <c r="B15" s="179" t="s">
        <v>86</v>
      </c>
      <c r="C15" s="180">
        <v>81</v>
      </c>
    </row>
    <row r="16" spans="1:3" ht="14.25" x14ac:dyDescent="0.2">
      <c r="A16" s="133"/>
      <c r="B16" s="179" t="s">
        <v>87</v>
      </c>
      <c r="C16" s="180">
        <v>2336</v>
      </c>
    </row>
    <row r="17" spans="1:7" ht="14.25" x14ac:dyDescent="0.2">
      <c r="A17" s="133"/>
      <c r="B17" s="179" t="s">
        <v>88</v>
      </c>
      <c r="C17" s="180">
        <v>342</v>
      </c>
    </row>
    <row r="18" spans="1:7" ht="14.25" x14ac:dyDescent="0.2">
      <c r="A18" s="133"/>
      <c r="B18" s="179" t="s">
        <v>89</v>
      </c>
      <c r="C18" s="180">
        <v>18</v>
      </c>
    </row>
    <row r="19" spans="1:7" ht="14.25" x14ac:dyDescent="0.2">
      <c r="A19" s="133"/>
      <c r="B19" s="179" t="s">
        <v>90</v>
      </c>
      <c r="C19" s="180">
        <v>500</v>
      </c>
    </row>
    <row r="20" spans="1:7" ht="14.25" x14ac:dyDescent="0.2">
      <c r="A20" s="133"/>
      <c r="B20" s="179" t="s">
        <v>91</v>
      </c>
      <c r="C20" s="180">
        <v>1</v>
      </c>
    </row>
    <row r="21" spans="1:7" ht="14.25" x14ac:dyDescent="0.2">
      <c r="A21" s="133"/>
      <c r="B21" s="179" t="s">
        <v>92</v>
      </c>
      <c r="C21" s="180">
        <v>25</v>
      </c>
    </row>
    <row r="22" spans="1:7" ht="14.25" x14ac:dyDescent="0.2">
      <c r="A22" s="133"/>
      <c r="B22" s="181" t="s">
        <v>93</v>
      </c>
      <c r="C22" s="182">
        <v>0</v>
      </c>
    </row>
    <row r="23" spans="1:7" ht="15" x14ac:dyDescent="0.25">
      <c r="A23" s="133" t="s">
        <v>94</v>
      </c>
      <c r="B23" s="132" t="s">
        <v>95</v>
      </c>
      <c r="C23" s="178"/>
    </row>
    <row r="24" spans="1:7" ht="14.25" x14ac:dyDescent="0.2">
      <c r="A24" s="133"/>
      <c r="B24" s="183" t="s">
        <v>217</v>
      </c>
      <c r="C24" s="184">
        <v>6400</v>
      </c>
    </row>
    <row r="25" spans="1:7" ht="14.25" x14ac:dyDescent="0.2">
      <c r="A25" s="133"/>
      <c r="B25" s="179" t="s">
        <v>218</v>
      </c>
      <c r="C25" s="180">
        <v>5583</v>
      </c>
    </row>
    <row r="26" spans="1:7" ht="14.25" x14ac:dyDescent="0.2">
      <c r="B26" s="179" t="s">
        <v>219</v>
      </c>
      <c r="C26" s="180">
        <v>-817</v>
      </c>
    </row>
    <row r="27" spans="1:7" ht="14.25" x14ac:dyDescent="0.2">
      <c r="B27" s="185"/>
      <c r="C27" s="186"/>
    </row>
    <row r="28" spans="1:7" ht="15" x14ac:dyDescent="0.25">
      <c r="B28" s="137" t="s">
        <v>96</v>
      </c>
      <c r="C28" s="249">
        <f>MEDIAN(C13,C14)/MEDIAN(C24,C25)</f>
        <v>0.48310105983476592</v>
      </c>
      <c r="G28" s="1">
        <f>12/C28</f>
        <v>24.839523233719124</v>
      </c>
    </row>
    <row r="29" spans="1:7" ht="15" x14ac:dyDescent="0.25">
      <c r="B29" s="134" t="s">
        <v>97</v>
      </c>
      <c r="C29" s="249">
        <f>C16/MEDIAN(C24,C25)</f>
        <v>0.38988567136777103</v>
      </c>
    </row>
    <row r="30" spans="1:7" ht="15" x14ac:dyDescent="0.25">
      <c r="B30" s="139" t="s">
        <v>98</v>
      </c>
      <c r="C30" s="138">
        <v>360</v>
      </c>
    </row>
    <row r="31" spans="1:7" ht="15" x14ac:dyDescent="0.25">
      <c r="B31" s="134" t="s">
        <v>201</v>
      </c>
      <c r="C31" s="138">
        <v>10</v>
      </c>
    </row>
    <row r="32" spans="1:7" ht="15" x14ac:dyDescent="0.25">
      <c r="B32" s="134" t="s">
        <v>202</v>
      </c>
      <c r="C32" s="138">
        <v>30</v>
      </c>
      <c r="G32" s="1">
        <f>TRUNC(G37)</f>
        <v>0</v>
      </c>
    </row>
    <row r="33" spans="2:11" ht="15" x14ac:dyDescent="0.25">
      <c r="B33" s="134" t="s">
        <v>203</v>
      </c>
      <c r="C33" s="138">
        <v>30</v>
      </c>
    </row>
    <row r="34" spans="2:11" s="88" customFormat="1" ht="15" x14ac:dyDescent="0.25">
      <c r="B34" s="134" t="s">
        <v>99</v>
      </c>
      <c r="C34" s="187">
        <f>MEDIAN(C24,C25)</f>
        <v>5991.5</v>
      </c>
    </row>
    <row r="35" spans="2:11" s="88" customFormat="1" ht="15" x14ac:dyDescent="0.25">
      <c r="B35" s="134" t="s">
        <v>32</v>
      </c>
      <c r="C35" s="188">
        <v>0.08</v>
      </c>
      <c r="K35" s="88">
        <f>IF(C39&gt;12,C39-12,C39)</f>
        <v>12.839523233719124</v>
      </c>
    </row>
    <row r="36" spans="2:11" s="88" customFormat="1" ht="15" x14ac:dyDescent="0.25">
      <c r="B36" s="134" t="s">
        <v>100</v>
      </c>
      <c r="C36" s="188">
        <v>0.5</v>
      </c>
      <c r="K36" s="88" t="e">
        <f>IF(#REF!&gt;12,#REF!-12,#REF!)</f>
        <v>#REF!</v>
      </c>
    </row>
    <row r="37" spans="2:11" s="88" customFormat="1" ht="15" x14ac:dyDescent="0.25">
      <c r="B37" s="134" t="s">
        <v>101</v>
      </c>
      <c r="C37" s="250">
        <f>((1/C28)-TRUNC(E37))</f>
        <v>6.9960269476593506E-2</v>
      </c>
      <c r="D37" s="88">
        <f>TRUNC(E37)</f>
        <v>2</v>
      </c>
      <c r="E37" s="88">
        <f>1/C28</f>
        <v>2.0699602694765935</v>
      </c>
      <c r="F37" s="88">
        <f>((1/C28)-TRUNC(E37))</f>
        <v>6.9960269476593506E-2</v>
      </c>
      <c r="G37" s="88">
        <f>12*F37</f>
        <v>0.83952323371912208</v>
      </c>
      <c r="K37" s="88" t="e">
        <f>IF(#REF!&gt;12,#REF!-12,#REF!)</f>
        <v>#REF!</v>
      </c>
    </row>
    <row r="38" spans="2:11" s="88" customFormat="1" ht="15" x14ac:dyDescent="0.25">
      <c r="B38" s="132" t="s">
        <v>102</v>
      </c>
      <c r="C38" s="140">
        <f>30+D38</f>
        <v>36</v>
      </c>
      <c r="D38" s="88">
        <f>3*D37</f>
        <v>6</v>
      </c>
      <c r="G38" s="88">
        <f>G37/12*40/360</f>
        <v>7.7733632751770566E-3</v>
      </c>
      <c r="K38" s="88" t="e">
        <f>IF(#REF!&gt;12,#REF!-12,#REF!)</f>
        <v>#REF!</v>
      </c>
    </row>
    <row r="39" spans="2:11" s="88" customFormat="1" ht="15.75" thickBot="1" x14ac:dyDescent="0.3">
      <c r="B39" s="141" t="s">
        <v>206</v>
      </c>
      <c r="C39" s="251">
        <f>12/C28</f>
        <v>24.839523233719124</v>
      </c>
      <c r="K39" s="88" t="e">
        <f>IF(#REF!&gt;12,#REF!-12,#REF!)</f>
        <v>#REF!</v>
      </c>
    </row>
    <row r="40" spans="2:11" x14ac:dyDescent="0.2">
      <c r="K40" s="1" t="e">
        <f t="shared" ref="K40:K41" si="0">IF(K39&gt;12,K39-12,K39)</f>
        <v>#REF!</v>
      </c>
    </row>
    <row r="41" spans="2:11" x14ac:dyDescent="0.2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3" sqref="H23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00" bestFit="1" customWidth="1"/>
    <col min="6" max="6" width="9.7109375" bestFit="1" customWidth="1"/>
  </cols>
  <sheetData>
    <row r="1" spans="1:8" s="123" customFormat="1" ht="14.25" x14ac:dyDescent="0.2">
      <c r="A1" s="9" t="s">
        <v>163</v>
      </c>
      <c r="B1" s="121"/>
      <c r="C1" s="121"/>
      <c r="E1" s="124"/>
    </row>
    <row r="2" spans="1:8" s="123" customFormat="1" ht="14.25" x14ac:dyDescent="0.2">
      <c r="A2" s="117" t="s">
        <v>207</v>
      </c>
      <c r="B2" s="121"/>
      <c r="C2" s="121"/>
      <c r="E2" s="124"/>
    </row>
    <row r="3" spans="1:8" s="123" customFormat="1" ht="14.25" x14ac:dyDescent="0.2">
      <c r="A3" s="7" t="s">
        <v>164</v>
      </c>
      <c r="B3" s="121"/>
      <c r="C3" s="121"/>
      <c r="E3" s="124"/>
    </row>
    <row r="4" spans="1:8" s="123" customFormat="1" ht="14.25" x14ac:dyDescent="0.2">
      <c r="A4" s="117"/>
      <c r="B4" s="121"/>
      <c r="C4" s="121"/>
      <c r="E4" s="124"/>
    </row>
    <row r="5" spans="1:8" s="123" customFormat="1" ht="15" thickBot="1" x14ac:dyDescent="0.25">
      <c r="B5" s="121"/>
      <c r="C5" s="121"/>
      <c r="E5" s="124"/>
    </row>
    <row r="6" spans="1:8" ht="15.75" x14ac:dyDescent="0.2">
      <c r="A6" s="298" t="s">
        <v>186</v>
      </c>
      <c r="B6" s="299"/>
      <c r="C6" s="299"/>
      <c r="D6" s="299"/>
      <c r="E6" s="299"/>
      <c r="F6" s="300"/>
    </row>
    <row r="7" spans="1:8" ht="16.5" thickBot="1" x14ac:dyDescent="0.25">
      <c r="A7" s="234"/>
      <c r="B7" s="235"/>
      <c r="C7" s="235"/>
      <c r="D7" s="235"/>
      <c r="E7" s="235"/>
      <c r="F7" s="236"/>
    </row>
    <row r="8" spans="1:8" ht="15" x14ac:dyDescent="0.25">
      <c r="A8" s="189"/>
      <c r="B8" s="122"/>
      <c r="C8" s="122"/>
      <c r="D8" s="295" t="s">
        <v>204</v>
      </c>
      <c r="E8" s="296"/>
      <c r="F8" s="297"/>
      <c r="G8" s="123"/>
      <c r="H8" s="123"/>
    </row>
    <row r="9" spans="1:8" ht="15" thickBot="1" x14ac:dyDescent="0.25">
      <c r="A9" s="185"/>
      <c r="B9" s="190"/>
      <c r="C9" s="190"/>
      <c r="D9" s="191" t="s">
        <v>153</v>
      </c>
      <c r="E9" s="192" t="s">
        <v>154</v>
      </c>
      <c r="F9" s="193" t="s">
        <v>155</v>
      </c>
      <c r="G9" s="123"/>
      <c r="H9" s="123"/>
    </row>
    <row r="10" spans="1:8" ht="14.25" x14ac:dyDescent="0.2">
      <c r="A10" s="194" t="s">
        <v>49</v>
      </c>
      <c r="B10" s="195" t="s">
        <v>50</v>
      </c>
      <c r="C10" s="196">
        <v>0.04</v>
      </c>
      <c r="D10" s="218">
        <v>2.9700000000000001E-2</v>
      </c>
      <c r="E10" s="219">
        <v>5.0799999999999998E-2</v>
      </c>
      <c r="F10" s="220">
        <v>6.2700000000000006E-2</v>
      </c>
      <c r="G10" s="123"/>
      <c r="H10" s="123"/>
    </row>
    <row r="11" spans="1:8" ht="14.25" x14ac:dyDescent="0.2">
      <c r="A11" s="199" t="s">
        <v>51</v>
      </c>
      <c r="B11" s="200" t="s">
        <v>52</v>
      </c>
      <c r="C11" s="201">
        <v>0.02</v>
      </c>
      <c r="D11" s="218">
        <f>0.3%+0.56%</f>
        <v>8.6E-3</v>
      </c>
      <c r="E11" s="219">
        <f>0.48%+0.85%</f>
        <v>1.3299999999999999E-2</v>
      </c>
      <c r="F11" s="220">
        <f>0.82%+0.89%</f>
        <v>1.7099999999999997E-2</v>
      </c>
      <c r="G11" s="123"/>
      <c r="H11" s="123"/>
    </row>
    <row r="12" spans="1:8" ht="14.25" x14ac:dyDescent="0.2">
      <c r="A12" s="199" t="s">
        <v>53</v>
      </c>
      <c r="B12" s="200" t="s">
        <v>54</v>
      </c>
      <c r="C12" s="201">
        <v>0.1</v>
      </c>
      <c r="D12" s="218">
        <v>7.7799999999999994E-2</v>
      </c>
      <c r="E12" s="219">
        <v>0.1085</v>
      </c>
      <c r="F12" s="220">
        <v>0.13550000000000001</v>
      </c>
      <c r="G12" s="123"/>
      <c r="H12" s="123"/>
    </row>
    <row r="13" spans="1:8" ht="14.25" x14ac:dyDescent="0.2">
      <c r="A13" s="199" t="s">
        <v>55</v>
      </c>
      <c r="B13" s="200" t="s">
        <v>56</v>
      </c>
      <c r="C13" s="202">
        <f>(1+E13)^(E14/252)-1</f>
        <v>2.5021250698071817E-3</v>
      </c>
      <c r="D13" s="197" t="s">
        <v>156</v>
      </c>
      <c r="E13" s="203">
        <v>6.5000000000000002E-2</v>
      </c>
      <c r="F13" s="198"/>
      <c r="G13" s="123"/>
      <c r="H13" s="123"/>
    </row>
    <row r="14" spans="1:8" ht="14.25" x14ac:dyDescent="0.2">
      <c r="A14" s="199" t="s">
        <v>57</v>
      </c>
      <c r="B14" s="293" t="s">
        <v>58</v>
      </c>
      <c r="C14" s="201">
        <v>0.03</v>
      </c>
      <c r="D14" s="179" t="s">
        <v>157</v>
      </c>
      <c r="E14" s="204">
        <v>10</v>
      </c>
      <c r="F14" s="205"/>
      <c r="G14" s="123"/>
      <c r="H14" s="123"/>
    </row>
    <row r="15" spans="1:8" ht="15" thickBot="1" x14ac:dyDescent="0.25">
      <c r="A15" s="206" t="s">
        <v>59</v>
      </c>
      <c r="B15" s="294"/>
      <c r="C15" s="207">
        <v>3.6499999999999998E-2</v>
      </c>
      <c r="D15" s="179"/>
      <c r="E15" s="208"/>
      <c r="F15" s="205"/>
      <c r="G15" s="123"/>
      <c r="H15" s="123"/>
    </row>
    <row r="16" spans="1:8" ht="14.25" x14ac:dyDescent="0.2">
      <c r="A16" s="209" t="s">
        <v>60</v>
      </c>
      <c r="B16" s="210"/>
      <c r="C16" s="211"/>
      <c r="D16" s="179"/>
      <c r="E16" s="208"/>
      <c r="F16" s="205"/>
      <c r="G16" s="123"/>
      <c r="H16" s="123"/>
    </row>
    <row r="17" spans="1:8" ht="15" thickBot="1" x14ac:dyDescent="0.25">
      <c r="A17" s="212" t="s">
        <v>61</v>
      </c>
      <c r="B17" s="213"/>
      <c r="C17" s="214"/>
      <c r="D17" s="179"/>
      <c r="E17" s="208"/>
      <c r="F17" s="205"/>
      <c r="G17" s="123"/>
      <c r="H17" s="123"/>
    </row>
    <row r="18" spans="1:8" ht="15.75" thickBot="1" x14ac:dyDescent="0.25">
      <c r="A18" s="215" t="s">
        <v>62</v>
      </c>
      <c r="B18" s="216"/>
      <c r="C18" s="217">
        <f>ROUND((((1+C10+C11)*(1+C12)*(1+C13))/(1-(C14+C15))-1),4)</f>
        <v>0.25219999999999998</v>
      </c>
      <c r="D18" s="221">
        <v>0.21429999999999999</v>
      </c>
      <c r="E18" s="222">
        <v>0.2717</v>
      </c>
      <c r="F18" s="223">
        <v>0.3362</v>
      </c>
      <c r="G18" s="123"/>
      <c r="H18" s="123"/>
    </row>
    <row r="19" spans="1:8" ht="14.25" x14ac:dyDescent="0.2">
      <c r="A19" s="123"/>
      <c r="B19" s="123"/>
      <c r="C19" s="123"/>
      <c r="D19" s="123"/>
      <c r="E19" s="124"/>
      <c r="F19" s="123"/>
      <c r="G19" s="123"/>
      <c r="H19" s="123"/>
    </row>
    <row r="20" spans="1:8" ht="14.25" x14ac:dyDescent="0.2">
      <c r="A20" s="123"/>
      <c r="B20" s="123"/>
      <c r="C20" s="123"/>
      <c r="D20" s="123"/>
      <c r="E20" s="124"/>
      <c r="F20" s="123"/>
      <c r="G20" s="123"/>
      <c r="H20" s="123"/>
    </row>
    <row r="21" spans="1:8" ht="14.25" x14ac:dyDescent="0.2">
      <c r="A21" s="123"/>
      <c r="B21" s="123"/>
      <c r="C21" s="123"/>
      <c r="D21" s="123"/>
      <c r="E21" s="124"/>
      <c r="F21" s="123"/>
      <c r="G21" s="123"/>
      <c r="H21" s="123"/>
    </row>
    <row r="22" spans="1:8" ht="14.25" x14ac:dyDescent="0.2">
      <c r="A22" s="123"/>
      <c r="B22" s="123"/>
      <c r="C22" s="123"/>
      <c r="D22" s="123"/>
      <c r="E22" s="124"/>
      <c r="F22" s="123"/>
      <c r="G22" s="123"/>
      <c r="H22" s="123"/>
    </row>
    <row r="25" spans="1:8" x14ac:dyDescent="0.2">
      <c r="E25" s="100">
        <v>4</v>
      </c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7" sqref="B7"/>
    </sheetView>
  </sheetViews>
  <sheetFormatPr defaultRowHeight="19.5" customHeight="1" x14ac:dyDescent="0.2"/>
  <cols>
    <col min="1" max="1" width="24.5703125" style="1" customWidth="1"/>
    <col min="2" max="2" width="18.5703125" style="1" customWidth="1"/>
    <col min="3" max="16384" width="9.140625" style="1"/>
  </cols>
  <sheetData>
    <row r="1" spans="1:2" ht="19.5" customHeight="1" thickBot="1" x14ac:dyDescent="0.25">
      <c r="A1" s="301" t="s">
        <v>189</v>
      </c>
      <c r="B1" s="302"/>
    </row>
    <row r="2" spans="1:2" s="88" customFormat="1" ht="19.5" customHeight="1" x14ac:dyDescent="0.2">
      <c r="A2" s="237" t="s">
        <v>171</v>
      </c>
      <c r="B2" s="238" t="s">
        <v>67</v>
      </c>
    </row>
    <row r="3" spans="1:2" ht="19.5" customHeight="1" x14ac:dyDescent="0.2">
      <c r="A3" s="143">
        <v>1</v>
      </c>
      <c r="B3" s="142">
        <v>33.629999999999995</v>
      </c>
    </row>
    <row r="4" spans="1:2" ht="19.5" customHeight="1" x14ac:dyDescent="0.2">
      <c r="A4" s="143">
        <v>2</v>
      </c>
      <c r="B4" s="142">
        <v>43.13</v>
      </c>
    </row>
    <row r="5" spans="1:2" ht="19.5" customHeight="1" x14ac:dyDescent="0.2">
      <c r="A5" s="143">
        <v>3</v>
      </c>
      <c r="B5" s="142">
        <v>48.68</v>
      </c>
    </row>
    <row r="6" spans="1:2" ht="19.5" customHeight="1" x14ac:dyDescent="0.2">
      <c r="A6" s="143">
        <v>4</v>
      </c>
      <c r="B6" s="142">
        <v>52.62</v>
      </c>
    </row>
    <row r="7" spans="1:2" ht="19.5" customHeight="1" x14ac:dyDescent="0.2">
      <c r="A7" s="143">
        <v>5</v>
      </c>
      <c r="B7" s="142">
        <v>55.679999999999993</v>
      </c>
    </row>
    <row r="8" spans="1:2" ht="19.5" customHeight="1" x14ac:dyDescent="0.2">
      <c r="A8" s="143">
        <v>6</v>
      </c>
      <c r="B8" s="142">
        <v>58.18</v>
      </c>
    </row>
    <row r="9" spans="1:2" ht="19.5" customHeight="1" x14ac:dyDescent="0.2">
      <c r="A9" s="143">
        <v>7</v>
      </c>
      <c r="B9" s="142">
        <v>60.29</v>
      </c>
    </row>
    <row r="10" spans="1:2" ht="19.5" customHeight="1" x14ac:dyDescent="0.2">
      <c r="A10" s="143">
        <v>8</v>
      </c>
      <c r="B10" s="142">
        <v>62.12</v>
      </c>
    </row>
    <row r="11" spans="1:2" ht="19.5" customHeight="1" x14ac:dyDescent="0.2">
      <c r="A11" s="143">
        <v>9</v>
      </c>
      <c r="B11" s="142">
        <v>63.73</v>
      </c>
    </row>
    <row r="12" spans="1:2" ht="19.5" customHeight="1" x14ac:dyDescent="0.2">
      <c r="A12" s="143">
        <v>10</v>
      </c>
      <c r="B12" s="142">
        <v>65.180000000000007</v>
      </c>
    </row>
    <row r="13" spans="1:2" ht="19.5" customHeight="1" x14ac:dyDescent="0.2">
      <c r="A13" s="143">
        <v>11</v>
      </c>
      <c r="B13" s="142">
        <v>66.47999999999999</v>
      </c>
    </row>
    <row r="14" spans="1:2" ht="19.5" customHeight="1" x14ac:dyDescent="0.2">
      <c r="A14" s="143">
        <v>12</v>
      </c>
      <c r="B14" s="142">
        <v>67.67</v>
      </c>
    </row>
    <row r="15" spans="1:2" ht="19.5" customHeight="1" x14ac:dyDescent="0.2">
      <c r="A15" s="143">
        <v>13</v>
      </c>
      <c r="B15" s="142">
        <v>68.77</v>
      </c>
    </row>
    <row r="16" spans="1:2" ht="19.5" customHeight="1" x14ac:dyDescent="0.2">
      <c r="A16" s="143">
        <v>14</v>
      </c>
      <c r="B16" s="142">
        <v>69.789999999999992</v>
      </c>
    </row>
    <row r="17" spans="1:2" ht="19.5" customHeight="1" thickBot="1" x14ac:dyDescent="0.25">
      <c r="A17" s="144">
        <v>15</v>
      </c>
      <c r="B17" s="145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6" sqref="A26:A27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27" t="s">
        <v>193</v>
      </c>
    </row>
    <row r="2" spans="1:1" x14ac:dyDescent="0.2">
      <c r="A2" s="224"/>
    </row>
    <row r="3" spans="1:1" x14ac:dyDescent="0.2">
      <c r="A3" s="224" t="s">
        <v>208</v>
      </c>
    </row>
    <row r="4" spans="1:1" x14ac:dyDescent="0.2">
      <c r="A4" s="224"/>
    </row>
    <row r="5" spans="1:1" x14ac:dyDescent="0.2">
      <c r="A5" s="224"/>
    </row>
    <row r="6" spans="1:1" x14ac:dyDescent="0.2">
      <c r="A6" s="224"/>
    </row>
    <row r="7" spans="1:1" x14ac:dyDescent="0.2">
      <c r="A7" s="224"/>
    </row>
    <row r="8" spans="1:1" x14ac:dyDescent="0.2">
      <c r="A8" s="224"/>
    </row>
    <row r="9" spans="1:1" x14ac:dyDescent="0.2">
      <c r="A9" s="224"/>
    </row>
    <row r="10" spans="1:1" x14ac:dyDescent="0.2">
      <c r="A10" s="224"/>
    </row>
    <row r="11" spans="1:1" x14ac:dyDescent="0.2">
      <c r="A11" s="224"/>
    </row>
    <row r="12" spans="1:1" ht="19.5" x14ac:dyDescent="0.35">
      <c r="A12" s="225" t="s">
        <v>190</v>
      </c>
    </row>
    <row r="13" spans="1:1" ht="15" x14ac:dyDescent="0.2">
      <c r="A13" s="225" t="s">
        <v>72</v>
      </c>
    </row>
    <row r="14" spans="1:1" ht="15" x14ac:dyDescent="0.2">
      <c r="A14" s="225" t="s">
        <v>76</v>
      </c>
    </row>
    <row r="15" spans="1:1" ht="19.5" x14ac:dyDescent="0.35">
      <c r="A15" s="225" t="s">
        <v>191</v>
      </c>
    </row>
    <row r="16" spans="1:1" ht="19.5" x14ac:dyDescent="0.35">
      <c r="A16" s="225" t="s">
        <v>192</v>
      </c>
    </row>
    <row r="17" spans="1:1" ht="15.75" thickBot="1" x14ac:dyDescent="0.25">
      <c r="A17" s="226" t="s">
        <v>73</v>
      </c>
    </row>
    <row r="22" spans="1:1" x14ac:dyDescent="0.2">
      <c r="A22" s="271" t="s">
        <v>233</v>
      </c>
    </row>
    <row r="23" spans="1:1" x14ac:dyDescent="0.2">
      <c r="A23" s="248" t="s">
        <v>234</v>
      </c>
    </row>
    <row r="24" spans="1:1" x14ac:dyDescent="0.2">
      <c r="A24" s="248" t="s">
        <v>235</v>
      </c>
    </row>
    <row r="25" spans="1:1" x14ac:dyDescent="0.2">
      <c r="A25" s="248" t="s">
        <v>236</v>
      </c>
    </row>
    <row r="27" spans="1:1" x14ac:dyDescent="0.2">
      <c r="A27" s="271" t="s">
        <v>237</v>
      </c>
    </row>
    <row r="28" spans="1:1" x14ac:dyDescent="0.2">
      <c r="A28" s="248" t="s">
        <v>238</v>
      </c>
    </row>
    <row r="29" spans="1:1" x14ac:dyDescent="0.2">
      <c r="A29" s="248" t="s">
        <v>239</v>
      </c>
    </row>
    <row r="30" spans="1:1" x14ac:dyDescent="0.2">
      <c r="A30" s="248" t="s">
        <v>240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TRANSP ESCOLAR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  <vt:lpstr>'2.Encargos Sociais'!Area_de_impressao</vt:lpstr>
      <vt:lpstr>'TRANSP ESCOLAR'!Area_de_impressao</vt:lpstr>
      <vt:lpstr>'TRANSP ESCOLAR'!Titulos_de_impressao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Usuário</cp:lastModifiedBy>
  <cp:lastPrinted>2019-06-25T13:55:39Z</cp:lastPrinted>
  <dcterms:created xsi:type="dcterms:W3CDTF">2000-12-13T10:02:50Z</dcterms:created>
  <dcterms:modified xsi:type="dcterms:W3CDTF">2023-02-02T11:53:29Z</dcterms:modified>
</cp:coreProperties>
</file>